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E:\YannisP RESEARCH 2020\SUSTAINABILITY Special Issue Built Environment = MIHALAKAKOU 2020-10-31\"/>
    </mc:Choice>
  </mc:AlternateContent>
  <xr:revisionPtr revIDLastSave="0" documentId="8_{72A5D5D4-D852-4E51-BE41-57507500BA44}" xr6:coauthVersionLast="45" xr6:coauthVersionMax="45" xr10:uidLastSave="{00000000-0000-0000-0000-000000000000}"/>
  <bookViews>
    <workbookView xWindow="-108" yWindow="-108" windowWidth="23256" windowHeight="12576" tabRatio="148" xr2:uid="{00000000-000D-0000-FFFF-FFFF00000000}"/>
  </bookViews>
  <sheets>
    <sheet name="DATA N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6" roundtripDataSignature="AMtx7mg3D6gtq0vlUTeDdH5C42HMRqbylQ=="/>
    </ext>
  </extLst>
</workbook>
</file>

<file path=xl/calcChain.xml><?xml version="1.0" encoding="utf-8"?>
<calcChain xmlns="http://schemas.openxmlformats.org/spreadsheetml/2006/main">
  <c r="EK6" i="1" l="1"/>
  <c r="EK7" i="1"/>
  <c r="EK32" i="1"/>
  <c r="EK33" i="1"/>
  <c r="EK2" i="1"/>
  <c r="EK8" i="1"/>
  <c r="EK9" i="1"/>
  <c r="EK10" i="1"/>
  <c r="EK11" i="1"/>
  <c r="EK12" i="1"/>
  <c r="EK13" i="1"/>
  <c r="EK14" i="1"/>
  <c r="EK3" i="1"/>
  <c r="EK15" i="1"/>
  <c r="EK4" i="1"/>
  <c r="EK16" i="1"/>
  <c r="EK34" i="1"/>
  <c r="EK27" i="1"/>
  <c r="EK30" i="1"/>
  <c r="EK17" i="1"/>
  <c r="EK35" i="1"/>
  <c r="EK28" i="1"/>
  <c r="EK18" i="1"/>
  <c r="EK19" i="1"/>
  <c r="EK31" i="1"/>
  <c r="EK20" i="1"/>
  <c r="EK29" i="1"/>
  <c r="EK36" i="1"/>
  <c r="EK37" i="1"/>
  <c r="EK21" i="1"/>
  <c r="EK22" i="1"/>
  <c r="EK23" i="1"/>
  <c r="EK24" i="1"/>
  <c r="EK25" i="1"/>
  <c r="EK26" i="1"/>
  <c r="EK5" i="1"/>
  <c r="BO6" i="1" l="1"/>
  <c r="BO7" i="1"/>
  <c r="BO32" i="1"/>
  <c r="BO33" i="1"/>
  <c r="BO2" i="1"/>
  <c r="BO8" i="1"/>
  <c r="BO9" i="1"/>
  <c r="BO10" i="1"/>
  <c r="BO11" i="1"/>
  <c r="BO12" i="1"/>
  <c r="BO13" i="1"/>
  <c r="BO14" i="1"/>
  <c r="BO3" i="1"/>
  <c r="BO15" i="1"/>
  <c r="BO4" i="1"/>
  <c r="BO16" i="1"/>
  <c r="BO34" i="1"/>
  <c r="BO27" i="1"/>
  <c r="BO30" i="1"/>
  <c r="BO17" i="1"/>
  <c r="BO35" i="1"/>
  <c r="BO28" i="1"/>
  <c r="BO18" i="1"/>
  <c r="BO19" i="1"/>
  <c r="BO31" i="1"/>
  <c r="BO20" i="1"/>
  <c r="BO29" i="1"/>
  <c r="BO36" i="1"/>
  <c r="BO37" i="1"/>
  <c r="BO21" i="1"/>
  <c r="BO22" i="1"/>
  <c r="BO23" i="1"/>
  <c r="BO24" i="1"/>
  <c r="BO25" i="1"/>
  <c r="BO26" i="1"/>
  <c r="BO5" i="1"/>
  <c r="AB6" i="1" l="1"/>
  <c r="AB7" i="1"/>
  <c r="AB32" i="1"/>
  <c r="AB33" i="1"/>
  <c r="AB2" i="1"/>
  <c r="AB8" i="1"/>
  <c r="AB9" i="1"/>
  <c r="AB10" i="1"/>
  <c r="AB11" i="1"/>
  <c r="AB12" i="1"/>
  <c r="AB13" i="1"/>
  <c r="AB14" i="1"/>
  <c r="AB3" i="1"/>
  <c r="AB15" i="1"/>
  <c r="AB4" i="1"/>
  <c r="AB16" i="1"/>
  <c r="AB34" i="1"/>
  <c r="AB27" i="1"/>
  <c r="AB30" i="1"/>
  <c r="AB17" i="1"/>
  <c r="AB35" i="1"/>
  <c r="AB28" i="1"/>
  <c r="AB18" i="1"/>
  <c r="AB19" i="1"/>
  <c r="AB31" i="1"/>
  <c r="AB20" i="1"/>
  <c r="AB29" i="1"/>
  <c r="AB36" i="1"/>
  <c r="AB37" i="1"/>
  <c r="AB21" i="1"/>
  <c r="AB22" i="1"/>
  <c r="AB23" i="1"/>
  <c r="AB24" i="1"/>
  <c r="AB25" i="1"/>
  <c r="AB26" i="1"/>
  <c r="AB5" i="1"/>
  <c r="A6" i="1" l="1"/>
  <c r="A7" i="1"/>
  <c r="A32" i="1"/>
  <c r="A33" i="1"/>
  <c r="A2" i="1"/>
  <c r="A8" i="1"/>
  <c r="A9" i="1"/>
  <c r="A10" i="1"/>
  <c r="A11" i="1"/>
  <c r="A12" i="1"/>
  <c r="A13" i="1"/>
  <c r="A14" i="1"/>
  <c r="A3" i="1"/>
  <c r="A15" i="1"/>
  <c r="A4" i="1"/>
  <c r="A16" i="1"/>
  <c r="A34" i="1"/>
  <c r="A27" i="1"/>
  <c r="A30" i="1"/>
  <c r="A17" i="1"/>
  <c r="A35" i="1"/>
  <c r="A28" i="1"/>
  <c r="A18" i="1"/>
  <c r="A19" i="1"/>
  <c r="A31" i="1"/>
  <c r="A20" i="1"/>
  <c r="A29" i="1"/>
  <c r="A36" i="1"/>
  <c r="A37" i="1"/>
  <c r="A21" i="1"/>
  <c r="A22" i="1"/>
  <c r="A23" i="1"/>
  <c r="A24" i="1"/>
  <c r="A25" i="1"/>
  <c r="A26" i="1"/>
  <c r="A5" i="1"/>
  <c r="DZ5" i="1" l="1"/>
  <c r="EA5" i="1" s="1"/>
  <c r="DZ6" i="1"/>
  <c r="EA6" i="1" s="1"/>
  <c r="DZ32" i="1"/>
  <c r="EA32" i="1" s="1"/>
  <c r="DZ33" i="1"/>
  <c r="EA33" i="1" s="1"/>
  <c r="DZ2" i="1"/>
  <c r="EA2" i="1" s="1"/>
  <c r="DZ8" i="1"/>
  <c r="EA8" i="1" s="1"/>
  <c r="DZ9" i="1"/>
  <c r="EA9" i="1" s="1"/>
  <c r="DZ10" i="1"/>
  <c r="EA10" i="1" s="1"/>
  <c r="DZ11" i="1"/>
  <c r="EA11" i="1" s="1"/>
  <c r="DZ12" i="1"/>
  <c r="EA12" i="1" s="1"/>
  <c r="DZ13" i="1"/>
  <c r="EA13" i="1" s="1"/>
  <c r="DZ14" i="1"/>
  <c r="EA14" i="1" s="1"/>
  <c r="DZ3" i="1"/>
  <c r="EA3" i="1" s="1"/>
  <c r="DZ15" i="1"/>
  <c r="EA15" i="1" s="1"/>
  <c r="DZ4" i="1"/>
  <c r="EA4" i="1" s="1"/>
  <c r="DZ16" i="1"/>
  <c r="EA16" i="1" s="1"/>
  <c r="DZ34" i="1"/>
  <c r="EA34" i="1" s="1"/>
  <c r="DZ27" i="1"/>
  <c r="EA27" i="1" s="1"/>
  <c r="DZ30" i="1"/>
  <c r="EA30" i="1" s="1"/>
  <c r="DZ17" i="1"/>
  <c r="EA17" i="1" s="1"/>
  <c r="DZ35" i="1"/>
  <c r="EA35" i="1" s="1"/>
  <c r="DZ28" i="1"/>
  <c r="EA28" i="1" s="1"/>
  <c r="DZ18" i="1"/>
  <c r="EA18" i="1" s="1"/>
  <c r="DZ19" i="1"/>
  <c r="EA19" i="1" s="1"/>
  <c r="DZ31" i="1"/>
  <c r="EA31" i="1" s="1"/>
  <c r="DZ20" i="1"/>
  <c r="EA20" i="1" s="1"/>
  <c r="DZ29" i="1"/>
  <c r="EA29" i="1" s="1"/>
  <c r="DZ36" i="1"/>
  <c r="EA36" i="1" s="1"/>
  <c r="DZ37" i="1"/>
  <c r="EA37" i="1" s="1"/>
  <c r="DZ21" i="1"/>
  <c r="EA21" i="1" s="1"/>
  <c r="DZ22" i="1"/>
  <c r="EA22" i="1" s="1"/>
  <c r="DZ23" i="1"/>
  <c r="EA23" i="1" s="1"/>
  <c r="DZ24" i="1"/>
  <c r="EA24" i="1" s="1"/>
  <c r="DZ25" i="1"/>
  <c r="EA25" i="1" s="1"/>
  <c r="DZ26" i="1"/>
  <c r="EA26" i="1" s="1"/>
  <c r="DZ7" i="1"/>
  <c r="EA7" i="1" s="1"/>
  <c r="EC5" i="1" l="1"/>
  <c r="ED5" i="1" s="1"/>
  <c r="EC6" i="1"/>
  <c r="ED6" i="1" s="1"/>
  <c r="EC32" i="1"/>
  <c r="ED32" i="1" s="1"/>
  <c r="EC33" i="1"/>
  <c r="ED33" i="1" s="1"/>
  <c r="EC2" i="1"/>
  <c r="ED2" i="1" s="1"/>
  <c r="EC8" i="1"/>
  <c r="ED8" i="1" s="1"/>
  <c r="EC9" i="1"/>
  <c r="ED9" i="1" s="1"/>
  <c r="EC10" i="1"/>
  <c r="ED10" i="1" s="1"/>
  <c r="EC11" i="1"/>
  <c r="ED11" i="1" s="1"/>
  <c r="EC12" i="1"/>
  <c r="ED12" i="1" s="1"/>
  <c r="EC13" i="1"/>
  <c r="ED13" i="1" s="1"/>
  <c r="EC14" i="1"/>
  <c r="ED14" i="1" s="1"/>
  <c r="EC3" i="1"/>
  <c r="ED3" i="1" s="1"/>
  <c r="EC15" i="1"/>
  <c r="ED15" i="1" s="1"/>
  <c r="EC4" i="1"/>
  <c r="ED4" i="1" s="1"/>
  <c r="EC16" i="1"/>
  <c r="ED16" i="1" s="1"/>
  <c r="EC34" i="1"/>
  <c r="ED34" i="1" s="1"/>
  <c r="EC27" i="1"/>
  <c r="ED27" i="1" s="1"/>
  <c r="EC30" i="1"/>
  <c r="ED30" i="1" s="1"/>
  <c r="EC17" i="1"/>
  <c r="ED17" i="1" s="1"/>
  <c r="EC35" i="1"/>
  <c r="ED35" i="1" s="1"/>
  <c r="EC28" i="1"/>
  <c r="ED28" i="1" s="1"/>
  <c r="EC18" i="1"/>
  <c r="ED18" i="1" s="1"/>
  <c r="EC19" i="1"/>
  <c r="ED19" i="1" s="1"/>
  <c r="EC31" i="1"/>
  <c r="ED31" i="1" s="1"/>
  <c r="EC20" i="1"/>
  <c r="ED20" i="1" s="1"/>
  <c r="EC29" i="1"/>
  <c r="ED29" i="1" s="1"/>
  <c r="EC36" i="1"/>
  <c r="ED36" i="1" s="1"/>
  <c r="EC37" i="1"/>
  <c r="ED37" i="1" s="1"/>
  <c r="EC21" i="1"/>
  <c r="ED21" i="1" s="1"/>
  <c r="EC22" i="1"/>
  <c r="ED22" i="1" s="1"/>
  <c r="EC23" i="1"/>
  <c r="ED23" i="1" s="1"/>
  <c r="EC24" i="1"/>
  <c r="ED24" i="1" s="1"/>
  <c r="EC25" i="1"/>
  <c r="ED25" i="1" s="1"/>
  <c r="EC26" i="1"/>
  <c r="ED26" i="1" s="1"/>
  <c r="EC7" i="1"/>
  <c r="ED7" i="1" s="1"/>
  <c r="EF5" i="1"/>
  <c r="EG5" i="1" s="1"/>
  <c r="EF6" i="1"/>
  <c r="EG6" i="1" s="1"/>
  <c r="EF32" i="1"/>
  <c r="EG32" i="1" s="1"/>
  <c r="EF33" i="1"/>
  <c r="EG33" i="1" s="1"/>
  <c r="EF2" i="1"/>
  <c r="EG2" i="1" s="1"/>
  <c r="EF8" i="1"/>
  <c r="EG8" i="1" s="1"/>
  <c r="EF9" i="1"/>
  <c r="EG9" i="1" s="1"/>
  <c r="EF10" i="1"/>
  <c r="EG10" i="1" s="1"/>
  <c r="EF11" i="1"/>
  <c r="EG11" i="1" s="1"/>
  <c r="EF12" i="1"/>
  <c r="EG12" i="1" s="1"/>
  <c r="EF13" i="1"/>
  <c r="EG13" i="1" s="1"/>
  <c r="EF14" i="1"/>
  <c r="EG14" i="1" s="1"/>
  <c r="EF3" i="1"/>
  <c r="EG3" i="1" s="1"/>
  <c r="EF15" i="1"/>
  <c r="EG15" i="1" s="1"/>
  <c r="EF4" i="1"/>
  <c r="EG4" i="1" s="1"/>
  <c r="EF16" i="1"/>
  <c r="EG16" i="1" s="1"/>
  <c r="EF34" i="1"/>
  <c r="EG34" i="1" s="1"/>
  <c r="EF27" i="1"/>
  <c r="EG27" i="1" s="1"/>
  <c r="EF30" i="1"/>
  <c r="EG30" i="1" s="1"/>
  <c r="EF17" i="1"/>
  <c r="EG17" i="1" s="1"/>
  <c r="EF35" i="1"/>
  <c r="EG35" i="1" s="1"/>
  <c r="EF28" i="1"/>
  <c r="EG28" i="1" s="1"/>
  <c r="EF18" i="1"/>
  <c r="EG18" i="1" s="1"/>
  <c r="EF19" i="1"/>
  <c r="EG19" i="1" s="1"/>
  <c r="EF31" i="1"/>
  <c r="EG31" i="1" s="1"/>
  <c r="EF20" i="1"/>
  <c r="EG20" i="1" s="1"/>
  <c r="EF29" i="1"/>
  <c r="EG29" i="1" s="1"/>
  <c r="EF36" i="1"/>
  <c r="EG36" i="1" s="1"/>
  <c r="EF37" i="1"/>
  <c r="EG37" i="1" s="1"/>
  <c r="EF21" i="1"/>
  <c r="EG21" i="1" s="1"/>
  <c r="EF22" i="1"/>
  <c r="EG22" i="1" s="1"/>
  <c r="EF23" i="1"/>
  <c r="EG23" i="1" s="1"/>
  <c r="EF24" i="1"/>
  <c r="EG24" i="1" s="1"/>
  <c r="EF25" i="1"/>
  <c r="EG25" i="1" s="1"/>
  <c r="EF26" i="1"/>
  <c r="EG26" i="1" s="1"/>
  <c r="EF7" i="1"/>
  <c r="EG7" i="1" s="1"/>
  <c r="EE5" i="1"/>
  <c r="EE6" i="1"/>
  <c r="EE32" i="1"/>
  <c r="EE33" i="1"/>
  <c r="EE2" i="1"/>
  <c r="EE8" i="1"/>
  <c r="EE9" i="1"/>
  <c r="EE10" i="1"/>
  <c r="EE11" i="1"/>
  <c r="EE12" i="1"/>
  <c r="EE13" i="1"/>
  <c r="EE14" i="1"/>
  <c r="EE3" i="1"/>
  <c r="EE15" i="1"/>
  <c r="EE4" i="1"/>
  <c r="EE16" i="1"/>
  <c r="EE34" i="1"/>
  <c r="EE27" i="1"/>
  <c r="EE30" i="1"/>
  <c r="EE17" i="1"/>
  <c r="EE35" i="1"/>
  <c r="EE28" i="1"/>
  <c r="EE18" i="1"/>
  <c r="EE19" i="1"/>
  <c r="EE31" i="1"/>
  <c r="EE20" i="1"/>
  <c r="EE29" i="1"/>
  <c r="EE36" i="1"/>
  <c r="EE37" i="1"/>
  <c r="EE21" i="1"/>
  <c r="EE22" i="1"/>
  <c r="EE23" i="1"/>
  <c r="EE24" i="1"/>
  <c r="EE25" i="1"/>
  <c r="EE26" i="1"/>
  <c r="EE7" i="1"/>
  <c r="DX5" i="1" l="1"/>
  <c r="DX6" i="1"/>
  <c r="DX32" i="1"/>
  <c r="DX33" i="1"/>
  <c r="DX2" i="1"/>
  <c r="DX8" i="1"/>
  <c r="DX9" i="1"/>
  <c r="DX10" i="1"/>
  <c r="DX11" i="1"/>
  <c r="DX12" i="1"/>
  <c r="DX13" i="1"/>
  <c r="DX14" i="1"/>
  <c r="DX3" i="1"/>
  <c r="DX15" i="1"/>
  <c r="DX4" i="1"/>
  <c r="DX16" i="1"/>
  <c r="DX34" i="1"/>
  <c r="DX27" i="1"/>
  <c r="DX30" i="1"/>
  <c r="DX17" i="1"/>
  <c r="DX35" i="1"/>
  <c r="DX28" i="1"/>
  <c r="DX18" i="1"/>
  <c r="DX19" i="1"/>
  <c r="DX31" i="1"/>
  <c r="DX20" i="1"/>
  <c r="DX29" i="1"/>
  <c r="DX36" i="1"/>
  <c r="DX37" i="1"/>
  <c r="DX21" i="1"/>
  <c r="DX22" i="1"/>
  <c r="DX23" i="1"/>
  <c r="DX24" i="1"/>
  <c r="DX25" i="1"/>
  <c r="DX26" i="1"/>
  <c r="DX7" i="1"/>
  <c r="BQ5" i="1" l="1"/>
  <c r="BQ6" i="1"/>
  <c r="BQ32" i="1"/>
  <c r="BQ33" i="1"/>
  <c r="BQ2" i="1"/>
  <c r="BQ8" i="1"/>
  <c r="BQ9" i="1"/>
  <c r="BQ10" i="1"/>
  <c r="BQ11" i="1"/>
  <c r="BQ12" i="1"/>
  <c r="BQ13" i="1"/>
  <c r="BQ14" i="1"/>
  <c r="BQ3" i="1"/>
  <c r="BQ15" i="1"/>
  <c r="BQ4" i="1"/>
  <c r="BQ16" i="1"/>
  <c r="BQ34" i="1"/>
  <c r="BQ27" i="1"/>
  <c r="BQ30" i="1"/>
  <c r="BQ17" i="1"/>
  <c r="BQ35" i="1"/>
  <c r="BQ28" i="1"/>
  <c r="BQ18" i="1"/>
  <c r="BQ19" i="1"/>
  <c r="BQ31" i="1"/>
  <c r="BQ20" i="1"/>
  <c r="BQ29" i="1"/>
  <c r="BQ36" i="1"/>
  <c r="BQ37" i="1"/>
  <c r="BQ21" i="1"/>
  <c r="BQ22" i="1"/>
  <c r="BQ23" i="1"/>
  <c r="BQ24" i="1"/>
  <c r="BQ25" i="1"/>
  <c r="BQ26" i="1"/>
  <c r="BQ7" i="1"/>
  <c r="CR5" i="1" l="1"/>
  <c r="CR6" i="1"/>
  <c r="CR32" i="1"/>
  <c r="CR33" i="1"/>
  <c r="CR2" i="1"/>
  <c r="CR8" i="1"/>
  <c r="CR9" i="1"/>
  <c r="CR10" i="1"/>
  <c r="CR11" i="1"/>
  <c r="CR12" i="1"/>
  <c r="CR13" i="1"/>
  <c r="CR14" i="1"/>
  <c r="CR3" i="1"/>
  <c r="CR15" i="1"/>
  <c r="CR4" i="1"/>
  <c r="CR16" i="1"/>
  <c r="CR34" i="1"/>
  <c r="CR27" i="1"/>
  <c r="CR30" i="1"/>
  <c r="CR17" i="1"/>
  <c r="CR35" i="1"/>
  <c r="CR28" i="1"/>
  <c r="CR18" i="1"/>
  <c r="CR19" i="1"/>
  <c r="CR31" i="1"/>
  <c r="CR20" i="1"/>
  <c r="CR29" i="1"/>
  <c r="CR36" i="1"/>
  <c r="CR37" i="1"/>
  <c r="CR21" i="1"/>
  <c r="CR22" i="1"/>
  <c r="CR23" i="1"/>
  <c r="CR24" i="1"/>
  <c r="CR25" i="1"/>
  <c r="CR26" i="1"/>
  <c r="CR7" i="1"/>
  <c r="CA32" i="1" l="1"/>
  <c r="CB32" i="1" s="1"/>
  <c r="CA3" i="1"/>
  <c r="CB3" i="1" s="1"/>
  <c r="CA16" i="1"/>
  <c r="CB16" i="1" s="1"/>
  <c r="CA8" i="1"/>
  <c r="CB8" i="1" s="1"/>
  <c r="CA7" i="1"/>
  <c r="CB7" i="1" s="1"/>
  <c r="BY5" i="1"/>
  <c r="BZ5" i="1" s="1"/>
  <c r="BY6" i="1"/>
  <c r="BZ6" i="1" s="1"/>
  <c r="BY32" i="1"/>
  <c r="BZ32" i="1" s="1"/>
  <c r="BY33" i="1"/>
  <c r="BZ33" i="1" s="1"/>
  <c r="BY2" i="1"/>
  <c r="BZ2" i="1" s="1"/>
  <c r="BY9" i="1"/>
  <c r="BZ9" i="1" s="1"/>
  <c r="BY19" i="1"/>
  <c r="BZ19" i="1" s="1"/>
  <c r="BY10" i="1"/>
  <c r="BZ10" i="1" s="1"/>
  <c r="BY11" i="1"/>
  <c r="BZ11" i="1" s="1"/>
  <c r="BY12" i="1"/>
  <c r="BZ12" i="1" s="1"/>
  <c r="BY13" i="1"/>
  <c r="BZ13" i="1" s="1"/>
  <c r="BY14" i="1"/>
  <c r="BZ14" i="1" s="1"/>
  <c r="BY3" i="1"/>
  <c r="BZ3" i="1" s="1"/>
  <c r="BY15" i="1"/>
  <c r="BZ15" i="1" s="1"/>
  <c r="BY4" i="1"/>
  <c r="BZ4" i="1" s="1"/>
  <c r="BY16" i="1"/>
  <c r="BZ16" i="1" s="1"/>
  <c r="BY34" i="1"/>
  <c r="BZ34" i="1" s="1"/>
  <c r="BY27" i="1"/>
  <c r="BZ27" i="1" s="1"/>
  <c r="BY30" i="1"/>
  <c r="BZ30" i="1" s="1"/>
  <c r="BY8" i="1"/>
  <c r="BZ8" i="1" s="1"/>
  <c r="BY17" i="1"/>
  <c r="BZ17" i="1" s="1"/>
  <c r="BY35" i="1"/>
  <c r="BZ35" i="1" s="1"/>
  <c r="BY28" i="1"/>
  <c r="BZ28" i="1" s="1"/>
  <c r="BY18" i="1"/>
  <c r="BZ18" i="1" s="1"/>
  <c r="BY31" i="1"/>
  <c r="BZ31" i="1" s="1"/>
  <c r="BY20" i="1"/>
  <c r="BZ20" i="1" s="1"/>
  <c r="BY29" i="1"/>
  <c r="BZ29" i="1" s="1"/>
  <c r="BY36" i="1"/>
  <c r="BZ36" i="1" s="1"/>
  <c r="BY37" i="1"/>
  <c r="BZ37" i="1" s="1"/>
  <c r="BY21" i="1"/>
  <c r="BZ21" i="1" s="1"/>
  <c r="BY22" i="1"/>
  <c r="BZ22" i="1" s="1"/>
  <c r="BY23" i="1"/>
  <c r="BZ23" i="1" s="1"/>
  <c r="BY24" i="1"/>
  <c r="BZ24" i="1" s="1"/>
  <c r="BY25" i="1"/>
  <c r="BZ25" i="1" s="1"/>
  <c r="BY26" i="1"/>
  <c r="BZ26" i="1" s="1"/>
  <c r="BY7" i="1"/>
  <c r="BZ7" i="1" s="1"/>
  <c r="M5" i="1" l="1"/>
  <c r="M6" i="1"/>
  <c r="M32" i="1"/>
  <c r="M33" i="1"/>
  <c r="M2" i="1"/>
  <c r="M9" i="1"/>
  <c r="M19" i="1"/>
  <c r="M10" i="1"/>
  <c r="M11" i="1"/>
  <c r="M12" i="1"/>
  <c r="M13" i="1"/>
  <c r="M14" i="1"/>
  <c r="M3" i="1"/>
  <c r="M15" i="1"/>
  <c r="M4" i="1"/>
  <c r="M16" i="1"/>
  <c r="M34" i="1"/>
  <c r="M27" i="1"/>
  <c r="M30" i="1"/>
  <c r="M8" i="1"/>
  <c r="M17" i="1"/>
  <c r="M35" i="1"/>
  <c r="M28" i="1"/>
  <c r="M18" i="1"/>
  <c r="M31" i="1"/>
  <c r="M20" i="1"/>
  <c r="M29" i="1"/>
  <c r="M36" i="1"/>
  <c r="M37" i="1"/>
  <c r="M21" i="1"/>
  <c r="M22" i="1"/>
  <c r="M23" i="1"/>
  <c r="M24" i="1"/>
  <c r="M25" i="1"/>
  <c r="M26" i="1"/>
  <c r="M7" i="1"/>
  <c r="Z5" i="1" l="1"/>
  <c r="Z6" i="1"/>
  <c r="Z32" i="1"/>
  <c r="Z33" i="1"/>
  <c r="Z2" i="1"/>
  <c r="Z9" i="1"/>
  <c r="Z19" i="1"/>
  <c r="Z10" i="1"/>
  <c r="Z11" i="1"/>
  <c r="Z12" i="1"/>
  <c r="Z13" i="1"/>
  <c r="Z14" i="1"/>
  <c r="Z3" i="1"/>
  <c r="Z15" i="1"/>
  <c r="Z4" i="1"/>
  <c r="Z16" i="1"/>
  <c r="Z34" i="1"/>
  <c r="Z27" i="1"/>
  <c r="Z30" i="1"/>
  <c r="Z8" i="1"/>
  <c r="Z17" i="1"/>
  <c r="Z35" i="1"/>
  <c r="Z28" i="1"/>
  <c r="Z18" i="1"/>
  <c r="Z31" i="1"/>
  <c r="Z20" i="1"/>
  <c r="Z29" i="1"/>
  <c r="Z36" i="1"/>
  <c r="Z37" i="1"/>
  <c r="Z21" i="1"/>
  <c r="Z22" i="1"/>
  <c r="Z23" i="1"/>
  <c r="Z24" i="1"/>
  <c r="Z25" i="1"/>
  <c r="Z26" i="1"/>
  <c r="Z7" i="1"/>
  <c r="CD5" i="1" l="1"/>
  <c r="CD6" i="1"/>
  <c r="CD32" i="1"/>
  <c r="CD33" i="1"/>
  <c r="CD2" i="1"/>
  <c r="CD9" i="1"/>
  <c r="CD19" i="1"/>
  <c r="CD10" i="1"/>
  <c r="CD11" i="1"/>
  <c r="CD12" i="1"/>
  <c r="CD13" i="1"/>
  <c r="CD14" i="1"/>
  <c r="CD3" i="1"/>
  <c r="CD15" i="1"/>
  <c r="CD4" i="1"/>
  <c r="CD16" i="1"/>
  <c r="CD34" i="1"/>
  <c r="CD27" i="1"/>
  <c r="CD30" i="1"/>
  <c r="CD8" i="1"/>
  <c r="CD17" i="1"/>
  <c r="CD35" i="1"/>
  <c r="CD28" i="1"/>
  <c r="CD18" i="1"/>
  <c r="CD31" i="1"/>
  <c r="CD20" i="1"/>
  <c r="CD29" i="1"/>
  <c r="CD36" i="1"/>
  <c r="CD37" i="1"/>
  <c r="CD21" i="1"/>
  <c r="CD22" i="1"/>
  <c r="CD23" i="1"/>
  <c r="CD24" i="1"/>
  <c r="CD25" i="1"/>
  <c r="CD26" i="1"/>
  <c r="CD7" i="1"/>
  <c r="CG18" i="1" l="1"/>
  <c r="CH18" i="1" s="1"/>
  <c r="CG12" i="1"/>
  <c r="CH12" i="1" s="1"/>
  <c r="CG7" i="1"/>
  <c r="CH7" i="1" s="1"/>
  <c r="CG28" i="1"/>
  <c r="CH28" i="1" s="1"/>
  <c r="CG11" i="1"/>
  <c r="CH11" i="1" s="1"/>
  <c r="CG26" i="1"/>
  <c r="CH26" i="1" s="1"/>
  <c r="CG10" i="1"/>
  <c r="CH10" i="1" s="1"/>
  <c r="CG2" i="1"/>
  <c r="CH2" i="1" s="1"/>
  <c r="CG25" i="1"/>
  <c r="CH25" i="1" s="1"/>
  <c r="CG8" i="1"/>
  <c r="CH8" i="1" s="1"/>
  <c r="CG21" i="1"/>
  <c r="CH21" i="1" s="1"/>
  <c r="CG16" i="1"/>
  <c r="CH16" i="1" s="1"/>
  <c r="CG33" i="1"/>
  <c r="CH33" i="1" s="1"/>
  <c r="CG13" i="1"/>
  <c r="CH13" i="1" s="1"/>
  <c r="CG24" i="1"/>
  <c r="CH24" i="1" s="1"/>
  <c r="CG22" i="1"/>
  <c r="CH22" i="1" s="1"/>
  <c r="CG9" i="1"/>
  <c r="CH9" i="1" s="1"/>
  <c r="CG29" i="1"/>
  <c r="CH29" i="1" s="1"/>
  <c r="CG4" i="1"/>
  <c r="CH4" i="1" s="1"/>
  <c r="CG32" i="1"/>
  <c r="CH32" i="1" s="1"/>
  <c r="CG35" i="1"/>
  <c r="CH35" i="1" s="1"/>
  <c r="CG17" i="1"/>
  <c r="CH17" i="1" s="1"/>
  <c r="CG30" i="1"/>
  <c r="CH30" i="1" s="1"/>
  <c r="CG27" i="1"/>
  <c r="CH27" i="1" s="1"/>
  <c r="CG37" i="1"/>
  <c r="CH37" i="1" s="1"/>
  <c r="CG36" i="1"/>
  <c r="CH36" i="1" s="1"/>
  <c r="CG20" i="1"/>
  <c r="CH20" i="1" s="1"/>
  <c r="CG15" i="1"/>
  <c r="CH15" i="1" s="1"/>
  <c r="CG6" i="1"/>
  <c r="CH6" i="1" s="1"/>
  <c r="CG14" i="1"/>
  <c r="CH14" i="1" s="1"/>
  <c r="CG23" i="1"/>
  <c r="CH23" i="1" s="1"/>
  <c r="CG19" i="1"/>
  <c r="CH19" i="1" s="1"/>
  <c r="CG34" i="1"/>
  <c r="CH34" i="1" s="1"/>
  <c r="CG31" i="1"/>
  <c r="CH31" i="1" s="1"/>
  <c r="CG3" i="1"/>
  <c r="CH3" i="1" s="1"/>
  <c r="CG5" i="1"/>
  <c r="CH5" i="1" s="1"/>
  <c r="CE18" i="1"/>
  <c r="CE17" i="1"/>
  <c r="CE23" i="1"/>
  <c r="CE22" i="1"/>
  <c r="CE30" i="1"/>
  <c r="CE19" i="1"/>
  <c r="CE11" i="1"/>
  <c r="CE9" i="1"/>
  <c r="CE14" i="1"/>
  <c r="CE35" i="1"/>
  <c r="CE10" i="1"/>
  <c r="CE37" i="1"/>
  <c r="CE34" i="1"/>
  <c r="CE2" i="1"/>
  <c r="CE26" i="1"/>
  <c r="CE8" i="1"/>
  <c r="CE36" i="1"/>
  <c r="CE16" i="1"/>
  <c r="CE33" i="1"/>
  <c r="CE13" i="1"/>
  <c r="CE25" i="1"/>
  <c r="CE27" i="1"/>
  <c r="CE29" i="1"/>
  <c r="CE4" i="1"/>
  <c r="CE32" i="1"/>
  <c r="CE28" i="1"/>
  <c r="CE21" i="1"/>
  <c r="CE20" i="1"/>
  <c r="CE15" i="1"/>
  <c r="CE6" i="1"/>
  <c r="CE7" i="1"/>
  <c r="CE12" i="1"/>
  <c r="CE24" i="1"/>
  <c r="CE31" i="1"/>
  <c r="CE3" i="1"/>
  <c r="CE5" i="1"/>
  <c r="AN24" i="1" l="1"/>
  <c r="AS24" i="1" s="1"/>
  <c r="AO21" i="1"/>
  <c r="AS21" i="1"/>
  <c r="AO27" i="1"/>
  <c r="AQ27" i="1" s="1"/>
  <c r="AR27" i="1" s="1"/>
  <c r="AS27" i="1"/>
  <c r="AO24" i="1" l="1"/>
  <c r="CA24" i="1" s="1"/>
  <c r="CB24" i="1" s="1"/>
  <c r="AP27" i="1"/>
  <c r="CA27" i="1"/>
  <c r="CB27" i="1" s="1"/>
  <c r="AP21" i="1"/>
  <c r="CA21" i="1"/>
  <c r="CB21" i="1" s="1"/>
  <c r="AQ21" i="1"/>
  <c r="AR21" i="1" s="1"/>
  <c r="AQ24" i="1"/>
  <c r="AR24" i="1" s="1"/>
  <c r="AP24" i="1"/>
  <c r="AO12" i="1"/>
  <c r="CA12" i="1" s="1"/>
  <c r="CB12" i="1" s="1"/>
  <c r="DK21" i="1"/>
  <c r="DK27" i="1"/>
  <c r="DI21" i="1"/>
  <c r="DI27" i="1"/>
  <c r="CT21" i="1"/>
  <c r="CU21" i="1"/>
  <c r="CV21" i="1" s="1"/>
  <c r="CT24" i="1"/>
  <c r="CU24" i="1"/>
  <c r="CV24" i="1" s="1"/>
  <c r="CT27" i="1"/>
  <c r="CU27" i="1"/>
  <c r="CV27" i="1" s="1"/>
  <c r="CJ27" i="1"/>
  <c r="CF27" i="1" s="1"/>
  <c r="CJ24" i="1"/>
  <c r="CF24" i="1" s="1"/>
  <c r="BV24" i="1"/>
  <c r="BW24" i="1"/>
  <c r="BX24" i="1" s="1"/>
  <c r="BV27" i="1"/>
  <c r="CJ21" i="1"/>
  <c r="CF21" i="1" s="1"/>
  <c r="BV21" i="1"/>
  <c r="BW21" i="1"/>
  <c r="BX21" i="1" s="1"/>
  <c r="BI24" i="1"/>
  <c r="BI21" i="1"/>
  <c r="BI27" i="1"/>
  <c r="BF21" i="1"/>
  <c r="BF27" i="1"/>
  <c r="BB21" i="1"/>
  <c r="AZ21" i="1" s="1"/>
  <c r="BA21" i="1" s="1"/>
  <c r="BB27" i="1"/>
  <c r="BE27" i="1" s="1"/>
  <c r="BG27" i="1" s="1"/>
  <c r="AV21" i="1"/>
  <c r="AV27" i="1"/>
  <c r="AS30" i="1"/>
  <c r="AV34" i="1"/>
  <c r="AY21" i="1"/>
  <c r="AU27" i="1"/>
  <c r="AU21" i="1"/>
  <c r="AH24" i="1"/>
  <c r="AJ24" i="1" s="1"/>
  <c r="AK24" i="1" s="1"/>
  <c r="AI24" i="1"/>
  <c r="AH21" i="1"/>
  <c r="AJ21" i="1" s="1"/>
  <c r="AI21" i="1"/>
  <c r="AH27" i="1"/>
  <c r="AJ27" i="1" s="1"/>
  <c r="AI27" i="1"/>
  <c r="AD24" i="1"/>
  <c r="AE24" i="1"/>
  <c r="AF24" i="1" s="1"/>
  <c r="AD21" i="1"/>
  <c r="AE21" i="1"/>
  <c r="AF21" i="1" s="1"/>
  <c r="AD27" i="1"/>
  <c r="AE27" i="1"/>
  <c r="AF27" i="1" s="1"/>
  <c r="BC21" i="1" l="1"/>
  <c r="BC27" i="1"/>
  <c r="BE21" i="1"/>
  <c r="BG21" i="1" s="1"/>
  <c r="CW27" i="1"/>
  <c r="CY27" i="1" s="1"/>
  <c r="CL21" i="1"/>
  <c r="CK21" i="1"/>
  <c r="CL24" i="1"/>
  <c r="CK24" i="1"/>
  <c r="CL27" i="1"/>
  <c r="CK27" i="1"/>
  <c r="CW21" i="1"/>
  <c r="CZ21" i="1" s="1"/>
  <c r="DA21" i="1" s="1"/>
  <c r="AZ27" i="1"/>
  <c r="CW24" i="1"/>
  <c r="AL24" i="1"/>
  <c r="AK21" i="1"/>
  <c r="AL21" i="1"/>
  <c r="AK27" i="1"/>
  <c r="AL27" i="1"/>
  <c r="W24" i="1"/>
  <c r="W21" i="1"/>
  <c r="S27" i="1"/>
  <c r="S24" i="1"/>
  <c r="S21" i="1"/>
  <c r="W27" i="1"/>
  <c r="U24" i="1"/>
  <c r="V24" i="1" s="1"/>
  <c r="U21" i="1"/>
  <c r="V21" i="1" s="1"/>
  <c r="U27" i="1"/>
  <c r="V27" i="1" s="1"/>
  <c r="CX21" i="1" l="1"/>
  <c r="CY21" i="1"/>
  <c r="CX27" i="1"/>
  <c r="CZ27" i="1"/>
  <c r="DA27" i="1" s="1"/>
  <c r="CN27" i="1"/>
  <c r="CM27" i="1"/>
  <c r="CN24" i="1"/>
  <c r="CM24" i="1"/>
  <c r="BA27" i="1"/>
  <c r="CN21" i="1"/>
  <c r="CM21" i="1"/>
  <c r="CZ24" i="1"/>
  <c r="DA24" i="1" s="1"/>
  <c r="CY24" i="1"/>
  <c r="CX24" i="1"/>
  <c r="CJ5" i="1" l="1"/>
  <c r="CF5" i="1" s="1"/>
  <c r="CJ6" i="1"/>
  <c r="CF6" i="1" s="1"/>
  <c r="CJ32" i="1"/>
  <c r="CF32" i="1" s="1"/>
  <c r="CJ33" i="1"/>
  <c r="CF33" i="1" s="1"/>
  <c r="CJ2" i="1"/>
  <c r="CF2" i="1" s="1"/>
  <c r="CJ9" i="1"/>
  <c r="CF9" i="1" s="1"/>
  <c r="CJ19" i="1"/>
  <c r="CF19" i="1" s="1"/>
  <c r="CJ10" i="1"/>
  <c r="CF10" i="1" s="1"/>
  <c r="CJ11" i="1"/>
  <c r="CF11" i="1" s="1"/>
  <c r="CJ12" i="1"/>
  <c r="CF12" i="1" s="1"/>
  <c r="CJ13" i="1"/>
  <c r="CF13" i="1" s="1"/>
  <c r="CJ14" i="1"/>
  <c r="CF14" i="1" s="1"/>
  <c r="CJ3" i="1"/>
  <c r="CF3" i="1" s="1"/>
  <c r="CJ15" i="1"/>
  <c r="CF15" i="1" s="1"/>
  <c r="CJ4" i="1"/>
  <c r="CF4" i="1" s="1"/>
  <c r="CJ16" i="1"/>
  <c r="CF16" i="1" s="1"/>
  <c r="CJ34" i="1"/>
  <c r="CF34" i="1" s="1"/>
  <c r="CJ30" i="1"/>
  <c r="CF30" i="1" s="1"/>
  <c r="CJ8" i="1"/>
  <c r="CF8" i="1" s="1"/>
  <c r="CJ17" i="1"/>
  <c r="CF17" i="1" s="1"/>
  <c r="CJ35" i="1"/>
  <c r="CF35" i="1" s="1"/>
  <c r="CJ28" i="1"/>
  <c r="CF28" i="1" s="1"/>
  <c r="CJ18" i="1"/>
  <c r="CF18" i="1" s="1"/>
  <c r="CJ31" i="1"/>
  <c r="CF31" i="1" s="1"/>
  <c r="CJ20" i="1"/>
  <c r="CF20" i="1" s="1"/>
  <c r="CJ29" i="1"/>
  <c r="CF29" i="1" s="1"/>
  <c r="CJ36" i="1"/>
  <c r="CF36" i="1" s="1"/>
  <c r="CJ37" i="1"/>
  <c r="CF37" i="1" s="1"/>
  <c r="CJ22" i="1"/>
  <c r="CF22" i="1" s="1"/>
  <c r="CJ23" i="1"/>
  <c r="CF23" i="1" s="1"/>
  <c r="CJ25" i="1"/>
  <c r="CF25" i="1" s="1"/>
  <c r="CJ26" i="1"/>
  <c r="CF26" i="1" s="1"/>
  <c r="CJ7" i="1"/>
  <c r="CF7" i="1" s="1"/>
  <c r="CL13" i="1" l="1"/>
  <c r="CK13" i="1"/>
  <c r="CL11" i="1"/>
  <c r="CK11" i="1"/>
  <c r="CL31" i="1"/>
  <c r="CK31" i="1"/>
  <c r="CL28" i="1"/>
  <c r="CK28" i="1"/>
  <c r="CL35" i="1"/>
  <c r="CK35" i="1"/>
  <c r="CL26" i="1"/>
  <c r="CK26" i="1"/>
  <c r="CL10" i="1"/>
  <c r="CK10" i="1"/>
  <c r="CL37" i="1"/>
  <c r="CK37" i="1"/>
  <c r="CL18" i="1"/>
  <c r="CK18" i="1"/>
  <c r="CL7" i="1"/>
  <c r="CK7" i="1"/>
  <c r="CL25" i="1"/>
  <c r="CK25" i="1"/>
  <c r="CL19" i="1"/>
  <c r="CK19" i="1"/>
  <c r="CL23" i="1"/>
  <c r="CK23" i="1"/>
  <c r="CL22" i="1"/>
  <c r="CK22" i="1"/>
  <c r="CL2" i="1"/>
  <c r="CK2" i="1"/>
  <c r="CL6" i="1"/>
  <c r="CK6" i="1"/>
  <c r="CL14" i="1"/>
  <c r="CK14" i="1"/>
  <c r="CL12" i="1"/>
  <c r="CK12" i="1"/>
  <c r="CL17" i="1"/>
  <c r="CK17" i="1"/>
  <c r="CL8" i="1"/>
  <c r="CK8" i="1"/>
  <c r="CL30" i="1"/>
  <c r="CK30" i="1"/>
  <c r="CL9" i="1"/>
  <c r="CK9" i="1"/>
  <c r="CL34" i="1"/>
  <c r="CK34" i="1"/>
  <c r="CL16" i="1"/>
  <c r="CK16" i="1"/>
  <c r="CL33" i="1"/>
  <c r="CK33" i="1"/>
  <c r="CL36" i="1"/>
  <c r="CK36" i="1"/>
  <c r="CL4" i="1"/>
  <c r="CK4" i="1"/>
  <c r="CL32" i="1"/>
  <c r="CK32" i="1"/>
  <c r="CL29" i="1"/>
  <c r="CK29" i="1"/>
  <c r="CL15" i="1"/>
  <c r="CK15" i="1"/>
  <c r="CL20" i="1"/>
  <c r="CK20" i="1"/>
  <c r="CL3" i="1"/>
  <c r="CK3" i="1"/>
  <c r="CL5" i="1"/>
  <c r="CK5" i="1"/>
  <c r="BI5" i="1"/>
  <c r="BI6" i="1"/>
  <c r="BI32" i="1"/>
  <c r="BI33" i="1"/>
  <c r="BI2" i="1"/>
  <c r="BI9" i="1"/>
  <c r="BI19" i="1"/>
  <c r="BI10" i="1"/>
  <c r="BI11" i="1"/>
  <c r="BI12" i="1"/>
  <c r="BI13" i="1"/>
  <c r="BI14" i="1"/>
  <c r="BI3" i="1"/>
  <c r="BI15" i="1"/>
  <c r="BI4" i="1"/>
  <c r="BI16" i="1"/>
  <c r="BI34" i="1"/>
  <c r="BI30" i="1"/>
  <c r="BI8" i="1"/>
  <c r="BI17" i="1"/>
  <c r="BI35" i="1"/>
  <c r="BI28" i="1"/>
  <c r="BI18" i="1"/>
  <c r="BI31" i="1"/>
  <c r="BI20" i="1"/>
  <c r="BI29" i="1"/>
  <c r="BI36" i="1"/>
  <c r="BI37" i="1"/>
  <c r="BI22" i="1"/>
  <c r="BI23" i="1"/>
  <c r="BI25" i="1"/>
  <c r="BI26" i="1"/>
  <c r="BI7" i="1"/>
  <c r="CN15" i="1" l="1"/>
  <c r="CM15" i="1"/>
  <c r="CN19" i="1"/>
  <c r="CM19" i="1"/>
  <c r="CN34" i="1"/>
  <c r="CM34" i="1"/>
  <c r="CN14" i="1"/>
  <c r="CM14" i="1"/>
  <c r="CN9" i="1"/>
  <c r="CM9" i="1"/>
  <c r="CN28" i="1"/>
  <c r="CM28" i="1"/>
  <c r="CN18" i="1"/>
  <c r="CM18" i="1"/>
  <c r="CN31" i="1"/>
  <c r="CM31" i="1"/>
  <c r="CN16" i="1"/>
  <c r="CM16" i="1"/>
  <c r="CN26" i="1"/>
  <c r="CM26" i="1"/>
  <c r="CN25" i="1"/>
  <c r="CM25" i="1"/>
  <c r="CN32" i="1"/>
  <c r="CM32" i="1"/>
  <c r="CN6" i="1"/>
  <c r="CM6" i="1"/>
  <c r="CN4" i="1"/>
  <c r="CM4" i="1"/>
  <c r="CN3" i="1"/>
  <c r="CM3" i="1"/>
  <c r="CN12" i="1"/>
  <c r="CM12" i="1"/>
  <c r="CN29" i="1"/>
  <c r="CM29" i="1"/>
  <c r="CN35" i="1"/>
  <c r="CM35" i="1"/>
  <c r="CN7" i="1"/>
  <c r="CM7" i="1"/>
  <c r="CN30" i="1"/>
  <c r="CM30" i="1"/>
  <c r="CN36" i="1"/>
  <c r="CM36" i="1"/>
  <c r="CN37" i="1"/>
  <c r="CM37" i="1"/>
  <c r="CN5" i="1"/>
  <c r="CM5" i="1"/>
  <c r="CN2" i="1"/>
  <c r="CM2" i="1"/>
  <c r="CN8" i="1"/>
  <c r="CM8" i="1"/>
  <c r="CN22" i="1"/>
  <c r="CM22" i="1"/>
  <c r="CN11" i="1"/>
  <c r="CM11" i="1"/>
  <c r="CN20" i="1"/>
  <c r="CM20" i="1"/>
  <c r="CN33" i="1"/>
  <c r="CM33" i="1"/>
  <c r="CN17" i="1"/>
  <c r="CM17" i="1"/>
  <c r="CN23" i="1"/>
  <c r="CM23" i="1"/>
  <c r="CN10" i="1"/>
  <c r="CM10" i="1"/>
  <c r="CN13" i="1"/>
  <c r="CM13" i="1"/>
  <c r="DR7" i="1"/>
  <c r="AD5" i="1"/>
  <c r="AD6" i="1"/>
  <c r="AD32" i="1"/>
  <c r="AD33" i="1"/>
  <c r="AD2" i="1"/>
  <c r="AD9" i="1"/>
  <c r="AD19" i="1"/>
  <c r="AD10" i="1"/>
  <c r="AD11" i="1"/>
  <c r="AD12" i="1"/>
  <c r="AD13" i="1"/>
  <c r="AD14" i="1"/>
  <c r="AD3" i="1"/>
  <c r="AD15" i="1"/>
  <c r="AD4" i="1"/>
  <c r="AD16" i="1"/>
  <c r="AD34" i="1"/>
  <c r="AD30" i="1"/>
  <c r="AD8" i="1"/>
  <c r="AD17" i="1"/>
  <c r="AD35" i="1"/>
  <c r="AD28" i="1"/>
  <c r="AD18" i="1"/>
  <c r="AD31" i="1"/>
  <c r="AD20" i="1"/>
  <c r="AD29" i="1"/>
  <c r="AD36" i="1"/>
  <c r="AD37" i="1"/>
  <c r="AD22" i="1"/>
  <c r="AD23" i="1"/>
  <c r="AD25" i="1"/>
  <c r="AD26" i="1"/>
  <c r="AD7" i="1"/>
  <c r="CT5" i="1" l="1"/>
  <c r="CT6" i="1"/>
  <c r="CT32" i="1"/>
  <c r="CT33" i="1"/>
  <c r="CT2" i="1"/>
  <c r="CT9" i="1"/>
  <c r="CT19" i="1"/>
  <c r="CT10" i="1"/>
  <c r="CT11" i="1"/>
  <c r="CT12" i="1"/>
  <c r="CT13" i="1"/>
  <c r="CT14" i="1"/>
  <c r="CT3" i="1"/>
  <c r="CT15" i="1"/>
  <c r="CT4" i="1"/>
  <c r="CT16" i="1"/>
  <c r="CT34" i="1"/>
  <c r="CT30" i="1"/>
  <c r="CT8" i="1"/>
  <c r="CT17" i="1"/>
  <c r="CT35" i="1"/>
  <c r="CT28" i="1"/>
  <c r="CT18" i="1"/>
  <c r="CT31" i="1"/>
  <c r="CT20" i="1"/>
  <c r="CT29" i="1"/>
  <c r="CT36" i="1"/>
  <c r="CT37" i="1"/>
  <c r="CT22" i="1"/>
  <c r="CT23" i="1"/>
  <c r="CT25" i="1"/>
  <c r="CT26" i="1"/>
  <c r="CT7" i="1"/>
  <c r="BX32" i="1"/>
  <c r="BX3" i="1"/>
  <c r="BX16" i="1"/>
  <c r="BX8" i="1"/>
  <c r="BX7" i="1"/>
  <c r="BV5" i="1" l="1"/>
  <c r="BV6" i="1"/>
  <c r="BV32" i="1"/>
  <c r="BV33" i="1"/>
  <c r="BV2" i="1"/>
  <c r="BV9" i="1"/>
  <c r="BV19" i="1"/>
  <c r="BV10" i="1"/>
  <c r="BV11" i="1"/>
  <c r="BV12" i="1"/>
  <c r="BV13" i="1"/>
  <c r="BV14" i="1"/>
  <c r="BV3" i="1"/>
  <c r="BV15" i="1"/>
  <c r="BV4" i="1"/>
  <c r="BV16" i="1"/>
  <c r="BV34" i="1"/>
  <c r="BV30" i="1"/>
  <c r="BV8" i="1"/>
  <c r="BV17" i="1"/>
  <c r="BV35" i="1"/>
  <c r="BV28" i="1"/>
  <c r="BV18" i="1"/>
  <c r="BV31" i="1"/>
  <c r="BV20" i="1"/>
  <c r="BV29" i="1"/>
  <c r="BV36" i="1"/>
  <c r="BV37" i="1"/>
  <c r="BV22" i="1"/>
  <c r="BV23" i="1"/>
  <c r="BV25" i="1"/>
  <c r="BV26" i="1"/>
  <c r="BV7" i="1"/>
  <c r="BA14" i="1"/>
  <c r="BA3" i="1"/>
  <c r="BA4" i="1"/>
  <c r="BA16" i="1"/>
  <c r="AU5" i="1"/>
  <c r="AU6" i="1"/>
  <c r="AU32" i="1"/>
  <c r="AU33" i="1"/>
  <c r="AU2" i="1"/>
  <c r="AU9" i="1"/>
  <c r="AU19" i="1"/>
  <c r="AU10" i="1"/>
  <c r="AU11" i="1"/>
  <c r="AU12" i="1"/>
  <c r="AU13" i="1"/>
  <c r="AU14" i="1"/>
  <c r="AU3" i="1"/>
  <c r="AU15" i="1"/>
  <c r="AU4" i="1"/>
  <c r="AU16" i="1"/>
  <c r="AU34" i="1"/>
  <c r="AU30" i="1"/>
  <c r="AU8" i="1"/>
  <c r="AU17" i="1"/>
  <c r="AU35" i="1"/>
  <c r="AU28" i="1"/>
  <c r="AU18" i="1"/>
  <c r="AU31" i="1"/>
  <c r="AU20" i="1"/>
  <c r="AU29" i="1"/>
  <c r="AU36" i="1"/>
  <c r="AU37" i="1"/>
  <c r="AU22" i="1"/>
  <c r="AU23" i="1"/>
  <c r="AU25" i="1"/>
  <c r="AU26" i="1"/>
  <c r="AU7" i="1"/>
  <c r="S5" i="1"/>
  <c r="S6" i="1"/>
  <c r="S32" i="1"/>
  <c r="S33" i="1"/>
  <c r="S2" i="1"/>
  <c r="S9" i="1"/>
  <c r="S19" i="1"/>
  <c r="S10" i="1"/>
  <c r="S11" i="1"/>
  <c r="S12" i="1"/>
  <c r="S13" i="1"/>
  <c r="S14" i="1"/>
  <c r="S3" i="1"/>
  <c r="S15" i="1"/>
  <c r="S4" i="1"/>
  <c r="S16" i="1"/>
  <c r="S34" i="1"/>
  <c r="S30" i="1"/>
  <c r="S8" i="1"/>
  <c r="S17" i="1"/>
  <c r="S35" i="1"/>
  <c r="S28" i="1"/>
  <c r="S18" i="1"/>
  <c r="S31" i="1"/>
  <c r="S20" i="1"/>
  <c r="S29" i="1"/>
  <c r="S36" i="1"/>
  <c r="S37" i="1"/>
  <c r="S22" i="1"/>
  <c r="S23" i="1"/>
  <c r="S25" i="1"/>
  <c r="S26" i="1"/>
  <c r="S7" i="1"/>
  <c r="DL5" i="1"/>
  <c r="DL6" i="1"/>
  <c r="DL32" i="1"/>
  <c r="DL2" i="1"/>
  <c r="DL9" i="1"/>
  <c r="DL19" i="1"/>
  <c r="DL10" i="1"/>
  <c r="DL11" i="1"/>
  <c r="DL12" i="1"/>
  <c r="DL13" i="1"/>
  <c r="DL14" i="1"/>
  <c r="DL3" i="1"/>
  <c r="DL15" i="1"/>
  <c r="DL4" i="1"/>
  <c r="DL16" i="1"/>
  <c r="DL34" i="1"/>
  <c r="DL30" i="1"/>
  <c r="DL8" i="1"/>
  <c r="DL17" i="1"/>
  <c r="DL35" i="1"/>
  <c r="DL28" i="1"/>
  <c r="DL18" i="1"/>
  <c r="DL31" i="1"/>
  <c r="DL29" i="1"/>
  <c r="DL36" i="1"/>
  <c r="DL37" i="1"/>
  <c r="DL22" i="1"/>
  <c r="DL23" i="1"/>
  <c r="DL25" i="1"/>
  <c r="DL26" i="1"/>
  <c r="DL7" i="1"/>
  <c r="BC5" i="1" l="1"/>
  <c r="BC6" i="1"/>
  <c r="BC32" i="1"/>
  <c r="BC33" i="1"/>
  <c r="BC2" i="1"/>
  <c r="BC9" i="1"/>
  <c r="BC19" i="1"/>
  <c r="BC10" i="1"/>
  <c r="BC11" i="1"/>
  <c r="BC12" i="1"/>
  <c r="BC13" i="1"/>
  <c r="BC14" i="1"/>
  <c r="BC3" i="1"/>
  <c r="BC15" i="1"/>
  <c r="BC4" i="1"/>
  <c r="BC16" i="1"/>
  <c r="BC34" i="1"/>
  <c r="BC30" i="1"/>
  <c r="BC8" i="1"/>
  <c r="BC17" i="1"/>
  <c r="BC35" i="1"/>
  <c r="BC28" i="1"/>
  <c r="BC18" i="1"/>
  <c r="BC31" i="1"/>
  <c r="BC20" i="1"/>
  <c r="BC29" i="1"/>
  <c r="BC36" i="1"/>
  <c r="BC37" i="1"/>
  <c r="BC22" i="1"/>
  <c r="BC23" i="1"/>
  <c r="BC25" i="1"/>
  <c r="BC26" i="1"/>
  <c r="BC7" i="1"/>
  <c r="AO5" i="1"/>
  <c r="CA5" i="1" s="1"/>
  <c r="CB5" i="1" s="1"/>
  <c r="AO6" i="1"/>
  <c r="CA6" i="1" s="1"/>
  <c r="CB6" i="1" s="1"/>
  <c r="AO32" i="1"/>
  <c r="AO33" i="1"/>
  <c r="CA33" i="1" s="1"/>
  <c r="CB33" i="1" s="1"/>
  <c r="AO2" i="1"/>
  <c r="CA2" i="1" s="1"/>
  <c r="CB2" i="1" s="1"/>
  <c r="AO9" i="1"/>
  <c r="AO19" i="1"/>
  <c r="CA19" i="1" s="1"/>
  <c r="CB19" i="1" s="1"/>
  <c r="AO10" i="1"/>
  <c r="CA10" i="1" s="1"/>
  <c r="CB10" i="1" s="1"/>
  <c r="AO11" i="1"/>
  <c r="CA11" i="1" s="1"/>
  <c r="CB11" i="1" s="1"/>
  <c r="AO13" i="1"/>
  <c r="CA13" i="1" s="1"/>
  <c r="CB13" i="1" s="1"/>
  <c r="AO14" i="1"/>
  <c r="CA14" i="1" s="1"/>
  <c r="CB14" i="1" s="1"/>
  <c r="AO15" i="1"/>
  <c r="AO4" i="1"/>
  <c r="CA4" i="1" s="1"/>
  <c r="CB4" i="1" s="1"/>
  <c r="AO16" i="1"/>
  <c r="AO34" i="1"/>
  <c r="CA34" i="1" s="1"/>
  <c r="CB34" i="1" s="1"/>
  <c r="AO30" i="1"/>
  <c r="CA30" i="1" s="1"/>
  <c r="CB30" i="1" s="1"/>
  <c r="AO8" i="1"/>
  <c r="AO17" i="1"/>
  <c r="CA17" i="1" s="1"/>
  <c r="CB17" i="1" s="1"/>
  <c r="AO35" i="1"/>
  <c r="CA35" i="1" s="1"/>
  <c r="CB35" i="1" s="1"/>
  <c r="AO28" i="1"/>
  <c r="CA28" i="1" s="1"/>
  <c r="CB28" i="1" s="1"/>
  <c r="AO18" i="1"/>
  <c r="CA18" i="1" s="1"/>
  <c r="CB18" i="1" s="1"/>
  <c r="AO31" i="1"/>
  <c r="CA31" i="1" s="1"/>
  <c r="CB31" i="1" s="1"/>
  <c r="AO20" i="1"/>
  <c r="CA20" i="1" s="1"/>
  <c r="CB20" i="1" s="1"/>
  <c r="AO29" i="1"/>
  <c r="CA29" i="1" s="1"/>
  <c r="CB29" i="1" s="1"/>
  <c r="AO36" i="1"/>
  <c r="CA36" i="1" s="1"/>
  <c r="CB36" i="1" s="1"/>
  <c r="AO37" i="1"/>
  <c r="CA37" i="1" s="1"/>
  <c r="CB37" i="1" s="1"/>
  <c r="AO22" i="1"/>
  <c r="CA22" i="1" s="1"/>
  <c r="CB22" i="1" s="1"/>
  <c r="AO23" i="1"/>
  <c r="CA23" i="1" s="1"/>
  <c r="CB23" i="1" s="1"/>
  <c r="AO25" i="1"/>
  <c r="CA25" i="1" s="1"/>
  <c r="CB25" i="1" s="1"/>
  <c r="AO26" i="1"/>
  <c r="CA26" i="1" s="1"/>
  <c r="CB26" i="1" s="1"/>
  <c r="AO7" i="1"/>
  <c r="CA9" i="1" l="1"/>
  <c r="CB9" i="1" s="1"/>
  <c r="AQ9" i="1"/>
  <c r="AP15" i="1"/>
  <c r="CA15" i="1"/>
  <c r="CB15" i="1" s="1"/>
  <c r="AQ13" i="1"/>
  <c r="AR13" i="1" s="1"/>
  <c r="AP13" i="1"/>
  <c r="AP7" i="1"/>
  <c r="AQ7" i="1"/>
  <c r="AR7" i="1" s="1"/>
  <c r="AP12" i="1"/>
  <c r="AQ12" i="1"/>
  <c r="AR12" i="1" s="1"/>
  <c r="AP10" i="1"/>
  <c r="AQ10" i="1"/>
  <c r="AR10" i="1" s="1"/>
  <c r="AP25" i="1"/>
  <c r="AQ25" i="1"/>
  <c r="AR25" i="1" s="1"/>
  <c r="AP9" i="1"/>
  <c r="AR9" i="1"/>
  <c r="AP23" i="1"/>
  <c r="AQ23" i="1"/>
  <c r="AR23" i="1" s="1"/>
  <c r="AQ33" i="1"/>
  <c r="AR33" i="1" s="1"/>
  <c r="AP33" i="1"/>
  <c r="AP8" i="1"/>
  <c r="AQ8" i="1"/>
  <c r="AR8" i="1" s="1"/>
  <c r="AP30" i="1"/>
  <c r="AQ30" i="1"/>
  <c r="AR30" i="1" s="1"/>
  <c r="AQ32" i="1"/>
  <c r="AR32" i="1" s="1"/>
  <c r="AP32" i="1"/>
  <c r="AP11" i="1"/>
  <c r="AQ11" i="1"/>
  <c r="AR11" i="1" s="1"/>
  <c r="AQ17" i="1"/>
  <c r="AR17" i="1" s="1"/>
  <c r="AP17" i="1"/>
  <c r="AP22" i="1"/>
  <c r="AQ22" i="1"/>
  <c r="AR22" i="1" s="1"/>
  <c r="AQ4" i="1"/>
  <c r="AR4" i="1" s="1"/>
  <c r="AP4" i="1"/>
  <c r="AQ31" i="1"/>
  <c r="AR31" i="1" s="1"/>
  <c r="AP31" i="1"/>
  <c r="AP18" i="1"/>
  <c r="AQ18" i="1"/>
  <c r="AR18" i="1" s="1"/>
  <c r="AP28" i="1"/>
  <c r="AQ28" i="1"/>
  <c r="AR28" i="1" s="1"/>
  <c r="AP19" i="1"/>
  <c r="AQ19" i="1"/>
  <c r="AR19" i="1" s="1"/>
  <c r="AQ34" i="1"/>
  <c r="AR34" i="1" s="1"/>
  <c r="AP34" i="1"/>
  <c r="AQ37" i="1"/>
  <c r="AR37" i="1" s="1"/>
  <c r="AP37" i="1"/>
  <c r="AP29" i="1"/>
  <c r="AQ29" i="1"/>
  <c r="AR29" i="1" s="1"/>
  <c r="AQ15" i="1"/>
  <c r="AR15" i="1" s="1"/>
  <c r="AP5" i="1"/>
  <c r="AQ5" i="1"/>
  <c r="AR5" i="1" s="1"/>
  <c r="AP35" i="1"/>
  <c r="AQ35" i="1"/>
  <c r="AR35" i="1" s="1"/>
  <c r="AQ26" i="1"/>
  <c r="AR26" i="1" s="1"/>
  <c r="AP26" i="1"/>
  <c r="AP2" i="1"/>
  <c r="AQ2" i="1"/>
  <c r="AR2" i="1" s="1"/>
  <c r="AQ16" i="1"/>
  <c r="AR16" i="1" s="1"/>
  <c r="AP16" i="1"/>
  <c r="AQ36" i="1"/>
  <c r="AR36" i="1" s="1"/>
  <c r="AP36" i="1"/>
  <c r="AP6" i="1"/>
  <c r="AQ6" i="1"/>
  <c r="AR6" i="1" s="1"/>
  <c r="AQ20" i="1"/>
  <c r="AR20" i="1" s="1"/>
  <c r="AP20" i="1"/>
  <c r="AQ14" i="1"/>
  <c r="AR14" i="1" s="1"/>
  <c r="AP14" i="1"/>
  <c r="BE33" i="1"/>
  <c r="AV5" i="1" l="1"/>
  <c r="AV6" i="1"/>
  <c r="AV32" i="1"/>
  <c r="AV33" i="1"/>
  <c r="AV2" i="1"/>
  <c r="AV9" i="1"/>
  <c r="AV19" i="1"/>
  <c r="AV10" i="1"/>
  <c r="AV11" i="1"/>
  <c r="AV12" i="1"/>
  <c r="AV13" i="1"/>
  <c r="AV15" i="1"/>
  <c r="AV30" i="1"/>
  <c r="AV8" i="1"/>
  <c r="AV17" i="1"/>
  <c r="AV35" i="1"/>
  <c r="AV28" i="1"/>
  <c r="AV18" i="1"/>
  <c r="AV31" i="1"/>
  <c r="AV20" i="1"/>
  <c r="AV29" i="1"/>
  <c r="AV36" i="1"/>
  <c r="AV37" i="1"/>
  <c r="AV22" i="1"/>
  <c r="AV23" i="1"/>
  <c r="AV25" i="1"/>
  <c r="AV26" i="1"/>
  <c r="AV7" i="1"/>
  <c r="AN3" i="1"/>
  <c r="AS7" i="1"/>
  <c r="AS5" i="1"/>
  <c r="AS6" i="1"/>
  <c r="AS32" i="1"/>
  <c r="AS33" i="1"/>
  <c r="AS2" i="1"/>
  <c r="AS9" i="1"/>
  <c r="AS19" i="1"/>
  <c r="AS10" i="1"/>
  <c r="AS11" i="1"/>
  <c r="AS12" i="1"/>
  <c r="AS13" i="1"/>
  <c r="AS14" i="1"/>
  <c r="AS15" i="1"/>
  <c r="AS4" i="1"/>
  <c r="AS16" i="1"/>
  <c r="AS34" i="1"/>
  <c r="AS8" i="1"/>
  <c r="AS17" i="1"/>
  <c r="AS35" i="1"/>
  <c r="AS28" i="1"/>
  <c r="AS18" i="1"/>
  <c r="AS31" i="1"/>
  <c r="AS20" i="1"/>
  <c r="AS29" i="1"/>
  <c r="AS36" i="1"/>
  <c r="AS37" i="1"/>
  <c r="AS22" i="1"/>
  <c r="AS23" i="1"/>
  <c r="AS25" i="1"/>
  <c r="AS26" i="1"/>
  <c r="U5" i="1"/>
  <c r="V5" i="1" s="1"/>
  <c r="U6" i="1"/>
  <c r="V6" i="1" s="1"/>
  <c r="U32" i="1"/>
  <c r="V32" i="1" s="1"/>
  <c r="U18" i="1"/>
  <c r="V18" i="1" s="1"/>
  <c r="U33" i="1"/>
  <c r="V33" i="1" s="1"/>
  <c r="U2" i="1"/>
  <c r="V2" i="1" s="1"/>
  <c r="U15" i="1"/>
  <c r="V15" i="1" s="1"/>
  <c r="U9" i="1"/>
  <c r="V9" i="1" s="1"/>
  <c r="U19" i="1"/>
  <c r="V19" i="1" s="1"/>
  <c r="U10" i="1"/>
  <c r="V10" i="1" s="1"/>
  <c r="U11" i="1"/>
  <c r="V11" i="1" s="1"/>
  <c r="U12" i="1"/>
  <c r="V12" i="1" s="1"/>
  <c r="U13" i="1"/>
  <c r="V13" i="1" s="1"/>
  <c r="U14" i="1"/>
  <c r="V14" i="1" s="1"/>
  <c r="U3" i="1"/>
  <c r="V3" i="1" s="1"/>
  <c r="U4" i="1"/>
  <c r="V4" i="1" s="1"/>
  <c r="U16" i="1"/>
  <c r="V16" i="1" s="1"/>
  <c r="U34" i="1"/>
  <c r="V34" i="1" s="1"/>
  <c r="U30" i="1"/>
  <c r="V30" i="1" s="1"/>
  <c r="U8" i="1"/>
  <c r="V8" i="1" s="1"/>
  <c r="U17" i="1"/>
  <c r="V17" i="1" s="1"/>
  <c r="U35" i="1"/>
  <c r="V35" i="1" s="1"/>
  <c r="U28" i="1"/>
  <c r="V28" i="1" s="1"/>
  <c r="U31" i="1"/>
  <c r="V31" i="1" s="1"/>
  <c r="U20" i="1"/>
  <c r="V20" i="1" s="1"/>
  <c r="U29" i="1"/>
  <c r="V29" i="1" s="1"/>
  <c r="U36" i="1"/>
  <c r="V36" i="1" s="1"/>
  <c r="U37" i="1"/>
  <c r="V37" i="1" s="1"/>
  <c r="U22" i="1"/>
  <c r="V22" i="1" s="1"/>
  <c r="U23" i="1"/>
  <c r="V23" i="1" s="1"/>
  <c r="U25" i="1"/>
  <c r="V25" i="1" s="1"/>
  <c r="U26" i="1"/>
  <c r="V26" i="1" s="1"/>
  <c r="U7" i="1"/>
  <c r="V7" i="1" s="1"/>
  <c r="AS3" i="1" l="1"/>
  <c r="AO3" i="1"/>
  <c r="DR5" i="1"/>
  <c r="DR6" i="1"/>
  <c r="DR32" i="1"/>
  <c r="DR18" i="1"/>
  <c r="DR33" i="1"/>
  <c r="DR2" i="1"/>
  <c r="DR15" i="1"/>
  <c r="DR9" i="1"/>
  <c r="DR19" i="1"/>
  <c r="DR10" i="1"/>
  <c r="DR11" i="1"/>
  <c r="DR12" i="1"/>
  <c r="DR13" i="1"/>
  <c r="DR14" i="1"/>
  <c r="DR4" i="1"/>
  <c r="DR16" i="1"/>
  <c r="DR34" i="1"/>
  <c r="DR30" i="1"/>
  <c r="DR8" i="1"/>
  <c r="DR17" i="1"/>
  <c r="DR35" i="1"/>
  <c r="DR28" i="1"/>
  <c r="DR31" i="1"/>
  <c r="DR20" i="1"/>
  <c r="DR29" i="1"/>
  <c r="DR36" i="1"/>
  <c r="DR37" i="1"/>
  <c r="DR22" i="1"/>
  <c r="DR23" i="1"/>
  <c r="DR25" i="1"/>
  <c r="DR26" i="1"/>
  <c r="AI5" i="1"/>
  <c r="AI6" i="1"/>
  <c r="AI32" i="1"/>
  <c r="AI18" i="1"/>
  <c r="AI33" i="1"/>
  <c r="AI2" i="1"/>
  <c r="AI15" i="1"/>
  <c r="AI9" i="1"/>
  <c r="AI19" i="1"/>
  <c r="AI10" i="1"/>
  <c r="AI11" i="1"/>
  <c r="AI12" i="1"/>
  <c r="AI13" i="1"/>
  <c r="AI14" i="1"/>
  <c r="AI3" i="1"/>
  <c r="AI4" i="1"/>
  <c r="AI16" i="1"/>
  <c r="AI34" i="1"/>
  <c r="AI30" i="1"/>
  <c r="AI8" i="1"/>
  <c r="AI17" i="1"/>
  <c r="AI35" i="1"/>
  <c r="AI28" i="1"/>
  <c r="AI31" i="1"/>
  <c r="AI20" i="1"/>
  <c r="AI29" i="1"/>
  <c r="AI36" i="1"/>
  <c r="AI37" i="1"/>
  <c r="AI22" i="1"/>
  <c r="AI23" i="1"/>
  <c r="AI25" i="1"/>
  <c r="AI26" i="1"/>
  <c r="AI7" i="1"/>
  <c r="AP3" i="1" l="1"/>
  <c r="AQ3" i="1"/>
  <c r="AR3" i="1" s="1"/>
  <c r="BE5" i="1"/>
  <c r="BG5" i="1" s="1"/>
  <c r="BE6" i="1"/>
  <c r="BG6" i="1" s="1"/>
  <c r="BE32" i="1"/>
  <c r="BG32" i="1" s="1"/>
  <c r="BE18" i="1"/>
  <c r="BG18" i="1" s="1"/>
  <c r="BG33" i="1"/>
  <c r="BE2" i="1"/>
  <c r="BG2" i="1" s="1"/>
  <c r="BE15" i="1"/>
  <c r="BG15" i="1" s="1"/>
  <c r="BE9" i="1"/>
  <c r="BG9" i="1" s="1"/>
  <c r="BE19" i="1"/>
  <c r="BG19" i="1" s="1"/>
  <c r="BE10" i="1"/>
  <c r="BE11" i="1"/>
  <c r="BG11" i="1" s="1"/>
  <c r="BE12" i="1"/>
  <c r="BG12" i="1" s="1"/>
  <c r="BE13" i="1"/>
  <c r="BG13" i="1" s="1"/>
  <c r="BE34" i="1"/>
  <c r="BG34" i="1" s="1"/>
  <c r="BE30" i="1"/>
  <c r="BG30" i="1" s="1"/>
  <c r="BE8" i="1"/>
  <c r="BG8" i="1" s="1"/>
  <c r="BE17" i="1"/>
  <c r="BG17" i="1" s="1"/>
  <c r="BE35" i="1"/>
  <c r="BG35" i="1" s="1"/>
  <c r="BE28" i="1"/>
  <c r="BG28" i="1" s="1"/>
  <c r="BE31" i="1"/>
  <c r="BG31" i="1" s="1"/>
  <c r="BE20" i="1"/>
  <c r="BG20" i="1" s="1"/>
  <c r="BE29" i="1"/>
  <c r="BG29" i="1" s="1"/>
  <c r="BE36" i="1"/>
  <c r="BG36" i="1" s="1"/>
  <c r="BE37" i="1"/>
  <c r="BG37" i="1" s="1"/>
  <c r="BE22" i="1"/>
  <c r="BG22" i="1" s="1"/>
  <c r="BE23" i="1"/>
  <c r="BG23" i="1" s="1"/>
  <c r="BE25" i="1"/>
  <c r="BG25" i="1" s="1"/>
  <c r="BE26" i="1"/>
  <c r="BG26" i="1" s="1"/>
  <c r="BE7" i="1"/>
  <c r="BG7" i="1" s="1"/>
  <c r="AY5" i="1"/>
  <c r="AY6" i="1"/>
  <c r="AY32" i="1"/>
  <c r="AY18" i="1"/>
  <c r="AY33" i="1"/>
  <c r="AY2" i="1"/>
  <c r="AY15" i="1"/>
  <c r="AY9" i="1"/>
  <c r="AY19" i="1"/>
  <c r="AY11" i="1"/>
  <c r="AY12" i="1"/>
  <c r="AY13" i="1"/>
  <c r="AY34" i="1"/>
  <c r="AY30" i="1"/>
  <c r="AY8" i="1"/>
  <c r="AY17" i="1"/>
  <c r="AY35" i="1"/>
  <c r="AY28" i="1"/>
  <c r="AY31" i="1"/>
  <c r="AY20" i="1"/>
  <c r="AY29" i="1"/>
  <c r="AY36" i="1"/>
  <c r="AY37" i="1"/>
  <c r="AY22" i="1"/>
  <c r="AY23" i="1"/>
  <c r="AY25" i="1"/>
  <c r="AY26" i="1"/>
  <c r="AY7" i="1"/>
  <c r="BW5" i="1" l="1"/>
  <c r="BX5" i="1" s="1"/>
  <c r="BW9" i="1" l="1"/>
  <c r="BX9" i="1" s="1"/>
  <c r="BW34" i="1"/>
  <c r="BX34" i="1" s="1"/>
  <c r="BW25" i="1"/>
  <c r="BX25" i="1" s="1"/>
  <c r="BW26" i="1"/>
  <c r="BX26" i="1" s="1"/>
  <c r="BW35" i="1"/>
  <c r="BX35" i="1" s="1"/>
  <c r="BW28" i="1"/>
  <c r="BX28" i="1" s="1"/>
  <c r="BW31" i="1"/>
  <c r="BX31" i="1" s="1"/>
  <c r="BW20" i="1"/>
  <c r="BX20" i="1" s="1"/>
  <c r="BW29" i="1"/>
  <c r="BX29" i="1" s="1"/>
  <c r="BW36" i="1"/>
  <c r="BX36" i="1" s="1"/>
  <c r="BW37" i="1"/>
  <c r="BX37" i="1" s="1"/>
  <c r="BW22" i="1"/>
  <c r="BX22" i="1" s="1"/>
  <c r="BW23" i="1"/>
  <c r="BX23" i="1" s="1"/>
  <c r="BW17" i="1"/>
  <c r="BX17" i="1" s="1"/>
  <c r="BW30" i="1"/>
  <c r="BX30" i="1" s="1"/>
  <c r="BW4" i="1"/>
  <c r="BX4" i="1" s="1"/>
  <c r="BW10" i="1"/>
  <c r="BX10" i="1" s="1"/>
  <c r="BW11" i="1"/>
  <c r="BX11" i="1" s="1"/>
  <c r="BW12" i="1"/>
  <c r="BX12" i="1" s="1"/>
  <c r="BW13" i="1"/>
  <c r="BX13" i="1" s="1"/>
  <c r="BW14" i="1"/>
  <c r="BX14" i="1" s="1"/>
  <c r="BW19" i="1"/>
  <c r="BX19" i="1" s="1"/>
  <c r="BW33" i="1"/>
  <c r="BX33" i="1" s="1"/>
  <c r="BW2" i="1"/>
  <c r="BX2" i="1" s="1"/>
  <c r="BW15" i="1"/>
  <c r="BX15" i="1" s="1"/>
  <c r="BW18" i="1"/>
  <c r="BX18" i="1" s="1"/>
  <c r="BW6" i="1"/>
  <c r="BX6" i="1" s="1"/>
  <c r="AZ7" i="1"/>
  <c r="BA7" i="1" l="1"/>
  <c r="AH26" i="1"/>
  <c r="AJ26" i="1" s="1"/>
  <c r="AK26" i="1" s="1"/>
  <c r="CU26" i="1"/>
  <c r="W26" i="1"/>
  <c r="AZ26" i="1"/>
  <c r="AE26" i="1"/>
  <c r="AF26" i="1" s="1"/>
  <c r="AH25" i="1"/>
  <c r="AJ25" i="1" s="1"/>
  <c r="AK25" i="1" s="1"/>
  <c r="CU25" i="1"/>
  <c r="W25" i="1"/>
  <c r="AZ25" i="1"/>
  <c r="AE25" i="1"/>
  <c r="AH23" i="1"/>
  <c r="AJ23" i="1" s="1"/>
  <c r="AK23" i="1" s="1"/>
  <c r="CU23" i="1"/>
  <c r="W23" i="1"/>
  <c r="AZ23" i="1"/>
  <c r="AE23" i="1"/>
  <c r="AH22" i="1"/>
  <c r="AJ22" i="1" s="1"/>
  <c r="AK22" i="1" s="1"/>
  <c r="CU22" i="1"/>
  <c r="W22" i="1"/>
  <c r="AZ22" i="1"/>
  <c r="AE22" i="1"/>
  <c r="AF22" i="1" s="1"/>
  <c r="AH37" i="1"/>
  <c r="AJ37" i="1" s="1"/>
  <c r="AK37" i="1" s="1"/>
  <c r="CU37" i="1"/>
  <c r="W37" i="1"/>
  <c r="AZ37" i="1"/>
  <c r="AE37" i="1"/>
  <c r="AF37" i="1" s="1"/>
  <c r="AH36" i="1"/>
  <c r="AJ36" i="1" s="1"/>
  <c r="AK36" i="1" s="1"/>
  <c r="CU36" i="1"/>
  <c r="W36" i="1"/>
  <c r="AZ36" i="1"/>
  <c r="AE36" i="1"/>
  <c r="AF36" i="1" s="1"/>
  <c r="AH29" i="1"/>
  <c r="AJ29" i="1" s="1"/>
  <c r="AK29" i="1" s="1"/>
  <c r="CU29" i="1"/>
  <c r="W29" i="1"/>
  <c r="AZ29" i="1"/>
  <c r="AE29" i="1"/>
  <c r="AF29" i="1" s="1"/>
  <c r="AH20" i="1"/>
  <c r="AJ20" i="1" s="1"/>
  <c r="AK20" i="1" s="1"/>
  <c r="CU20" i="1"/>
  <c r="W20" i="1"/>
  <c r="AZ20" i="1"/>
  <c r="AE20" i="1"/>
  <c r="AF20" i="1" s="1"/>
  <c r="AH31" i="1"/>
  <c r="AJ31" i="1" s="1"/>
  <c r="AK31" i="1" s="1"/>
  <c r="CU31" i="1"/>
  <c r="W31" i="1"/>
  <c r="AZ31" i="1"/>
  <c r="AE31" i="1"/>
  <c r="AF31" i="1" s="1"/>
  <c r="AH28" i="1"/>
  <c r="AJ28" i="1" s="1"/>
  <c r="AK28" i="1" s="1"/>
  <c r="CU28" i="1"/>
  <c r="W28" i="1"/>
  <c r="AZ28" i="1"/>
  <c r="AE28" i="1"/>
  <c r="AF28" i="1" s="1"/>
  <c r="AH35" i="1"/>
  <c r="AJ35" i="1" s="1"/>
  <c r="AK35" i="1" s="1"/>
  <c r="CU35" i="1"/>
  <c r="W35" i="1"/>
  <c r="AZ35" i="1"/>
  <c r="AE35" i="1"/>
  <c r="AF35" i="1" s="1"/>
  <c r="AH17" i="1"/>
  <c r="AJ17" i="1" s="1"/>
  <c r="AK17" i="1" s="1"/>
  <c r="CU17" i="1"/>
  <c r="W17" i="1"/>
  <c r="AZ17" i="1"/>
  <c r="AE17" i="1"/>
  <c r="AF17" i="1" s="1"/>
  <c r="AH8" i="1"/>
  <c r="AJ8" i="1" s="1"/>
  <c r="AK8" i="1" s="1"/>
  <c r="CU8" i="1"/>
  <c r="W8" i="1"/>
  <c r="AZ8" i="1"/>
  <c r="AE8" i="1"/>
  <c r="AF8" i="1" s="1"/>
  <c r="AH30" i="1"/>
  <c r="AJ30" i="1" s="1"/>
  <c r="AK30" i="1" s="1"/>
  <c r="CU30" i="1"/>
  <c r="W30" i="1"/>
  <c r="AZ30" i="1"/>
  <c r="AE30" i="1"/>
  <c r="AF30" i="1" s="1"/>
  <c r="AH34" i="1"/>
  <c r="AJ34" i="1" s="1"/>
  <c r="AK34" i="1" s="1"/>
  <c r="CU34" i="1"/>
  <c r="W34" i="1"/>
  <c r="AZ34" i="1"/>
  <c r="AE34" i="1"/>
  <c r="AF34" i="1" s="1"/>
  <c r="AH16" i="1"/>
  <c r="AJ16" i="1" s="1"/>
  <c r="AK16" i="1" s="1"/>
  <c r="CU16" i="1"/>
  <c r="W16" i="1"/>
  <c r="AE16" i="1"/>
  <c r="AF16" i="1" s="1"/>
  <c r="AH4" i="1"/>
  <c r="AJ4" i="1" s="1"/>
  <c r="AK4" i="1" s="1"/>
  <c r="CU4" i="1"/>
  <c r="W4" i="1"/>
  <c r="AE4" i="1"/>
  <c r="AF4" i="1" s="1"/>
  <c r="AH3" i="1"/>
  <c r="AJ3" i="1" s="1"/>
  <c r="AK3" i="1" s="1"/>
  <c r="CU3" i="1"/>
  <c r="W3" i="1"/>
  <c r="AE3" i="1"/>
  <c r="AF3" i="1" s="1"/>
  <c r="AH14" i="1"/>
  <c r="AJ14" i="1" s="1"/>
  <c r="AK14" i="1" s="1"/>
  <c r="CU14" i="1"/>
  <c r="W14" i="1"/>
  <c r="AE14" i="1"/>
  <c r="AF14" i="1" s="1"/>
  <c r="AH13" i="1"/>
  <c r="AJ13" i="1" s="1"/>
  <c r="AK13" i="1" s="1"/>
  <c r="CU13" i="1"/>
  <c r="W13" i="1"/>
  <c r="AZ13" i="1"/>
  <c r="AE13" i="1"/>
  <c r="AF13" i="1" s="1"/>
  <c r="AH12" i="1"/>
  <c r="AJ12" i="1" s="1"/>
  <c r="AK12" i="1" s="1"/>
  <c r="CU12" i="1"/>
  <c r="W12" i="1"/>
  <c r="AZ12" i="1"/>
  <c r="AE12" i="1"/>
  <c r="AF12" i="1" s="1"/>
  <c r="AH11" i="1"/>
  <c r="AJ11" i="1" s="1"/>
  <c r="AK11" i="1" s="1"/>
  <c r="CU11" i="1"/>
  <c r="W11" i="1"/>
  <c r="AZ11" i="1"/>
  <c r="AE11" i="1"/>
  <c r="AF11" i="1" s="1"/>
  <c r="AH10" i="1"/>
  <c r="AJ10" i="1" s="1"/>
  <c r="AK10" i="1" s="1"/>
  <c r="CU10" i="1"/>
  <c r="W10" i="1"/>
  <c r="AZ10" i="1"/>
  <c r="AE10" i="1"/>
  <c r="AF10" i="1" s="1"/>
  <c r="AH19" i="1"/>
  <c r="AJ19" i="1" s="1"/>
  <c r="AK19" i="1" s="1"/>
  <c r="CU19" i="1"/>
  <c r="W19" i="1"/>
  <c r="AZ19" i="1"/>
  <c r="AE19" i="1"/>
  <c r="AF19" i="1" s="1"/>
  <c r="AH9" i="1"/>
  <c r="AJ9" i="1" s="1"/>
  <c r="AK9" i="1" s="1"/>
  <c r="CU9" i="1"/>
  <c r="W9" i="1"/>
  <c r="AZ9" i="1"/>
  <c r="AE9" i="1"/>
  <c r="AF9" i="1" s="1"/>
  <c r="AH15" i="1"/>
  <c r="AJ15" i="1" s="1"/>
  <c r="AK15" i="1" s="1"/>
  <c r="CU15" i="1"/>
  <c r="W15" i="1"/>
  <c r="AZ15" i="1"/>
  <c r="AE15" i="1"/>
  <c r="AF15" i="1" s="1"/>
  <c r="AH2" i="1"/>
  <c r="AJ2" i="1" s="1"/>
  <c r="AK2" i="1" s="1"/>
  <c r="CU2" i="1"/>
  <c r="W2" i="1"/>
  <c r="AZ2" i="1"/>
  <c r="AE2" i="1"/>
  <c r="AF2" i="1" s="1"/>
  <c r="AH33" i="1"/>
  <c r="AJ33" i="1" s="1"/>
  <c r="AK33" i="1" s="1"/>
  <c r="CU33" i="1"/>
  <c r="W33" i="1"/>
  <c r="AZ33" i="1"/>
  <c r="AE33" i="1"/>
  <c r="AH18" i="1"/>
  <c r="AJ18" i="1" s="1"/>
  <c r="AK18" i="1" s="1"/>
  <c r="CU18" i="1"/>
  <c r="W18" i="1"/>
  <c r="AZ18" i="1"/>
  <c r="AE18" i="1"/>
  <c r="AH32" i="1"/>
  <c r="AJ32" i="1" s="1"/>
  <c r="AK32" i="1" s="1"/>
  <c r="CU32" i="1"/>
  <c r="W32" i="1"/>
  <c r="AZ32" i="1"/>
  <c r="AE32" i="1"/>
  <c r="AH6" i="1"/>
  <c r="AJ6" i="1" s="1"/>
  <c r="AK6" i="1" s="1"/>
  <c r="CU6" i="1"/>
  <c r="W6" i="1"/>
  <c r="AZ6" i="1"/>
  <c r="AE6" i="1"/>
  <c r="AH5" i="1"/>
  <c r="AJ5" i="1" s="1"/>
  <c r="AK5" i="1" s="1"/>
  <c r="CU5" i="1"/>
  <c r="W5" i="1"/>
  <c r="AZ5" i="1"/>
  <c r="AE5" i="1"/>
  <c r="AF5" i="1" s="1"/>
  <c r="AH7" i="1"/>
  <c r="AJ7" i="1" s="1"/>
  <c r="AK7" i="1" s="1"/>
  <c r="CU7" i="1"/>
  <c r="W7" i="1"/>
  <c r="AE7" i="1"/>
  <c r="AF7" i="1" s="1"/>
  <c r="BA36" i="1" l="1"/>
  <c r="CW2" i="1"/>
  <c r="CX2" i="1" s="1"/>
  <c r="CV2" i="1"/>
  <c r="CW9" i="1"/>
  <c r="CV9" i="1"/>
  <c r="CW10" i="1"/>
  <c r="CV10" i="1"/>
  <c r="CW12" i="1"/>
  <c r="CZ12" i="1" s="1"/>
  <c r="DA12" i="1" s="1"/>
  <c r="CV12" i="1"/>
  <c r="CW25" i="1"/>
  <c r="CZ25" i="1" s="1"/>
  <c r="DA25" i="1" s="1"/>
  <c r="CV25" i="1"/>
  <c r="BA30" i="1"/>
  <c r="CW14" i="1"/>
  <c r="CX14" i="1" s="1"/>
  <c r="CV14" i="1"/>
  <c r="CW17" i="1"/>
  <c r="CZ17" i="1" s="1"/>
  <c r="DA17" i="1" s="1"/>
  <c r="CV17" i="1"/>
  <c r="BA2" i="1"/>
  <c r="BA17" i="1"/>
  <c r="CW16" i="1"/>
  <c r="CV16" i="1"/>
  <c r="CW28" i="1"/>
  <c r="CZ28" i="1" s="1"/>
  <c r="DA28" i="1" s="1"/>
  <c r="CV28" i="1"/>
  <c r="BA15" i="1"/>
  <c r="BA11" i="1"/>
  <c r="BA13" i="1"/>
  <c r="CW3" i="1"/>
  <c r="CX3" i="1" s="1"/>
  <c r="CV3" i="1"/>
  <c r="AL23" i="1"/>
  <c r="AF23" i="1"/>
  <c r="BA26" i="1"/>
  <c r="BA28" i="1"/>
  <c r="BA34" i="1"/>
  <c r="BA8" i="1"/>
  <c r="BA35" i="1"/>
  <c r="BA31" i="1"/>
  <c r="BA29" i="1"/>
  <c r="BA37" i="1"/>
  <c r="BA23" i="1"/>
  <c r="BA22" i="1"/>
  <c r="CW18" i="1"/>
  <c r="CZ18" i="1" s="1"/>
  <c r="DA18" i="1" s="1"/>
  <c r="CV18" i="1"/>
  <c r="CW30" i="1"/>
  <c r="CZ30" i="1" s="1"/>
  <c r="DA30" i="1" s="1"/>
  <c r="CV30" i="1"/>
  <c r="BA19" i="1"/>
  <c r="BA32" i="1"/>
  <c r="BA5" i="1"/>
  <c r="BA6" i="1"/>
  <c r="BA20" i="1"/>
  <c r="CW36" i="1"/>
  <c r="CV36" i="1"/>
  <c r="AL33" i="1"/>
  <c r="AF33" i="1"/>
  <c r="CW15" i="1"/>
  <c r="CX15" i="1" s="1"/>
  <c r="CV15" i="1"/>
  <c r="CW19" i="1"/>
  <c r="CZ19" i="1" s="1"/>
  <c r="DA19" i="1" s="1"/>
  <c r="CV19" i="1"/>
  <c r="CW11" i="1"/>
  <c r="CV11" i="1"/>
  <c r="CW13" i="1"/>
  <c r="CV13" i="1"/>
  <c r="CW23" i="1"/>
  <c r="CV23" i="1"/>
  <c r="CW26" i="1"/>
  <c r="CX26" i="1" s="1"/>
  <c r="CV26" i="1"/>
  <c r="BA18" i="1"/>
  <c r="CW6" i="1"/>
  <c r="CX6" i="1" s="1"/>
  <c r="CV6" i="1"/>
  <c r="CW5" i="1"/>
  <c r="CX5" i="1" s="1"/>
  <c r="CV5" i="1"/>
  <c r="CW34" i="1"/>
  <c r="CZ34" i="1" s="1"/>
  <c r="DA34" i="1" s="1"/>
  <c r="CV34" i="1"/>
  <c r="CW8" i="1"/>
  <c r="CV8" i="1"/>
  <c r="CW35" i="1"/>
  <c r="CZ35" i="1" s="1"/>
  <c r="DA35" i="1" s="1"/>
  <c r="CV35" i="1"/>
  <c r="CW31" i="1"/>
  <c r="CV31" i="1"/>
  <c r="CW29" i="1"/>
  <c r="CV29" i="1"/>
  <c r="CW37" i="1"/>
  <c r="CV37" i="1"/>
  <c r="CW22" i="1"/>
  <c r="CV22" i="1"/>
  <c r="CW7" i="1"/>
  <c r="CV7" i="1"/>
  <c r="BA33" i="1"/>
  <c r="CW32" i="1"/>
  <c r="CZ32" i="1" s="1"/>
  <c r="DA32" i="1" s="1"/>
  <c r="CV32" i="1"/>
  <c r="CW33" i="1"/>
  <c r="CZ33" i="1" s="1"/>
  <c r="DA33" i="1" s="1"/>
  <c r="CV33" i="1"/>
  <c r="CW4" i="1"/>
  <c r="CZ4" i="1" s="1"/>
  <c r="DA4" i="1" s="1"/>
  <c r="CV4" i="1"/>
  <c r="AL25" i="1"/>
  <c r="AF25" i="1"/>
  <c r="CW20" i="1"/>
  <c r="CV20" i="1"/>
  <c r="AL32" i="1"/>
  <c r="AF32" i="1"/>
  <c r="AL6" i="1"/>
  <c r="AF6" i="1"/>
  <c r="AL18" i="1"/>
  <c r="AF18" i="1"/>
  <c r="BA9" i="1"/>
  <c r="BA10" i="1"/>
  <c r="BA12" i="1"/>
  <c r="BA25" i="1"/>
  <c r="AL7" i="1"/>
  <c r="AL4" i="1"/>
  <c r="AL16" i="1"/>
  <c r="AL5" i="1"/>
  <c r="AL26" i="1"/>
  <c r="AL15" i="1"/>
  <c r="AL19" i="1"/>
  <c r="AL11" i="1"/>
  <c r="AL13" i="1"/>
  <c r="AL30" i="1"/>
  <c r="AL17" i="1"/>
  <c r="AL28" i="1"/>
  <c r="AL20" i="1"/>
  <c r="AL36" i="1"/>
  <c r="AL22" i="1"/>
  <c r="AL2" i="1"/>
  <c r="AL3" i="1"/>
  <c r="AL9" i="1"/>
  <c r="AL10" i="1"/>
  <c r="AL12" i="1"/>
  <c r="AL14" i="1"/>
  <c r="AL34" i="1"/>
  <c r="AL8" i="1"/>
  <c r="AL35" i="1"/>
  <c r="AL31" i="1"/>
  <c r="AL29" i="1"/>
  <c r="AL37" i="1"/>
  <c r="CY14" i="1"/>
  <c r="CZ14" i="1"/>
  <c r="DA14" i="1" s="1"/>
  <c r="CY2" i="1"/>
  <c r="CZ9" i="1"/>
  <c r="DA9" i="1" s="1"/>
  <c r="CY6" i="1" l="1"/>
  <c r="CZ15" i="1"/>
  <c r="DA15" i="1" s="1"/>
  <c r="CZ26" i="1"/>
  <c r="DA26" i="1" s="1"/>
  <c r="CY26" i="1"/>
  <c r="CY15" i="1"/>
  <c r="CZ2" i="1"/>
  <c r="DA2" i="1" s="1"/>
  <c r="CY5" i="1"/>
  <c r="CZ3" i="1"/>
  <c r="DA3" i="1" s="1"/>
  <c r="CZ6" i="1"/>
  <c r="DA6" i="1" s="1"/>
  <c r="CZ5" i="1"/>
  <c r="DA5" i="1" s="1"/>
  <c r="CY8" i="1"/>
  <c r="CX8" i="1"/>
  <c r="CY22" i="1"/>
  <c r="CX22" i="1"/>
  <c r="CY34" i="1"/>
  <c r="CX34" i="1"/>
  <c r="CY13" i="1"/>
  <c r="CX13" i="1"/>
  <c r="CY18" i="1"/>
  <c r="CX18" i="1"/>
  <c r="CY12" i="1"/>
  <c r="CX12" i="1"/>
  <c r="CY36" i="1"/>
  <c r="CX36" i="1"/>
  <c r="CY10" i="1"/>
  <c r="CX10" i="1"/>
  <c r="CY3" i="1"/>
  <c r="CY20" i="1"/>
  <c r="CX20" i="1"/>
  <c r="CY25" i="1"/>
  <c r="CX25" i="1"/>
  <c r="CY29" i="1"/>
  <c r="CX29" i="1"/>
  <c r="CY19" i="1"/>
  <c r="CX19" i="1"/>
  <c r="CY17" i="1"/>
  <c r="CX17" i="1"/>
  <c r="CY9" i="1"/>
  <c r="CX9" i="1"/>
  <c r="CZ23" i="1"/>
  <c r="DA23" i="1" s="1"/>
  <c r="CX23" i="1"/>
  <c r="CY37" i="1"/>
  <c r="CX37" i="1"/>
  <c r="CY33" i="1"/>
  <c r="CX33" i="1"/>
  <c r="CZ37" i="1"/>
  <c r="DA37" i="1" s="1"/>
  <c r="CY30" i="1"/>
  <c r="CX30" i="1"/>
  <c r="CY4" i="1"/>
  <c r="CX4" i="1"/>
  <c r="CZ22" i="1"/>
  <c r="DA22" i="1" s="1"/>
  <c r="CY32" i="1"/>
  <c r="CX32" i="1"/>
  <c r="CZ7" i="1"/>
  <c r="DA7" i="1" s="1"/>
  <c r="CX7" i="1"/>
  <c r="CZ16" i="1"/>
  <c r="DA16" i="1" s="1"/>
  <c r="CX16" i="1"/>
  <c r="CY11" i="1"/>
  <c r="CX11" i="1"/>
  <c r="CZ29" i="1"/>
  <c r="DA29" i="1" s="1"/>
  <c r="CY31" i="1"/>
  <c r="CX31" i="1"/>
  <c r="CZ11" i="1"/>
  <c r="DA11" i="1" s="1"/>
  <c r="CZ31" i="1"/>
  <c r="DA31" i="1" s="1"/>
  <c r="CZ10" i="1"/>
  <c r="DA10" i="1" s="1"/>
  <c r="CY35" i="1"/>
  <c r="CX35" i="1"/>
  <c r="CY28" i="1"/>
  <c r="CX28" i="1"/>
  <c r="CZ13" i="1"/>
  <c r="DA13" i="1" s="1"/>
  <c r="CY23" i="1"/>
  <c r="CZ36" i="1"/>
  <c r="DA36" i="1" s="1"/>
  <c r="CZ20" i="1"/>
  <c r="DA20" i="1" s="1"/>
  <c r="CY16" i="1"/>
  <c r="CY7" i="1"/>
  <c r="CZ8" i="1"/>
  <c r="DA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tc={4F64FBF0-D55E-40D2-8D04-0EC53B1A9896}</author>
    <author>tc={27F568C3-1885-430B-B1BE-35AE0F5414FB}</author>
    <author>tc={C33C803F-CC03-44DF-B77D-6939F93E446C}</author>
    <author>tc={097C10B9-F5EF-4314-A1A4-828878A480C5}</author>
    <author>tc={890EA716-4534-4A15-985D-AF8523AF7C7A}</author>
    <author>tc={375CDC75-7567-46AC-BC13-D1CACDD84E61}</author>
    <author>tc={A257BDE1-4AAD-446D-9B08-2597EBFBA913}</author>
    <author>tc={120C6990-875C-410F-AC41-B08AF5EB3024}</author>
    <author>tc={00B7615E-BF1C-443B-95C0-91B5F58C2D91}</author>
    <author>tc={B9C74DA0-B3E4-460B-8629-5E78A797DED1}</author>
    <author>tc={19C15DCA-A67C-4B8A-B041-2CCE8F95B8B6}</author>
    <author>tc={5529A33B-7964-4117-99DC-AC15FE29E2F5}</author>
    <author>tc={9D10FDF6-C5D2-4468-800A-A5EE14D411CB}</author>
    <author>tc={E816CFCE-7356-4F8C-BCA4-229E43088436}</author>
    <author>tc={9A55033D-EABC-4C7B-811C-295DBBAE13D9}</author>
    <author>tc={2380AC6B-A6FE-4586-9853-F087A9F8E325}</author>
    <author>tc={9B2AA15C-F0A4-4DC8-B1B9-5CB8EB29D28D}</author>
    <author>tc={E83D292E-43A7-454D-AEFF-9ED8168C79BC}</author>
    <author>tc={80A0728C-17C9-4999-970E-A05EC2E3FAEC}</author>
    <author>tc={ED0BB2D8-60CE-4725-828B-F2677B49456C}</author>
    <author>tc={DC414F06-A34C-4A09-8895-4074A42518DC}</author>
    <author>tc={A28BD9A5-EE35-4D11-B9FB-9852E01DD7BD}</author>
    <author>tc={BEDD43E3-0085-4419-8384-E929DB8C360F}</author>
    <author>tc={0787A733-4FDC-4589-BF67-4514D5696E3B}</author>
    <author>tc={34486DC7-2804-4E58-960F-2A6F2C4A247B}</author>
    <author>tc={5BD271D7-5700-4106-93A8-130D6DBF7923}</author>
    <author>tc={9C0A1912-AFDC-4ADC-8171-D62E9336D2CE}</author>
    <author>tc={881728D4-B3CA-43C9-82A8-0118F37485E5}</author>
    <author>tc={597878E5-0C51-42D7-8134-1365352FBA6E}</author>
    <author>tc={7FD9790E-5586-455F-AB46-CBDE6230EBC1}</author>
    <author>tc={00C1F05E-4F0A-406B-8FFB-70D5150D7E8E}</author>
    <author>tc={C99EE1C7-D63D-4B9D-B9BF-8A671E0C808A}</author>
    <author>tc={5E6CE4D4-1431-4ED0-9BD1-3AFF8D65E14B}</author>
    <author>tc={CFF93A31-DA04-4215-BBFB-27544529DDBC}</author>
    <author>tc={A1D254A7-A1BB-4787-840E-B75B593FDC54}</author>
    <author>tc={3D9B4F9A-E0B8-44E0-8365-10C3B9107CD1}</author>
    <author>tc={DD0B5CC6-9DA4-4BF9-9CDF-B11B870CC8A5}</author>
    <author>tc={2F991C76-CE53-4EEB-B891-B779A68BC311}</author>
    <author>tc={2CECA490-F66D-4325-AF6B-7D2FB302FC18}</author>
    <author>tc={FFF2C506-8946-46EA-A1FD-8A16DA99A2F4}</author>
    <author>tc={D055C385-B87D-414C-B73A-67DF183413E9}</author>
    <author>tc={168DE3A8-EC05-4BC9-AD03-AED94C667D99}</author>
    <author>tc={580E1282-88A4-431F-910F-B3AC52492FEE}</author>
    <author>tc={E298532C-FF4F-4774-9CE3-EDEBF6E61B05}</author>
    <author>tc={F21637D8-9387-4215-9A61-DFBDDC213582}</author>
    <author>tc={23C27F02-0CF3-4044-9BFC-F552E051AB4C}</author>
    <author>tc={3BCDB180-DE44-4930-B077-585EFE3A47EA}</author>
    <author>tc={83737D96-74D0-4B70-A3FB-84A09B294676}</author>
    <author>tc={5D48AACD-376B-4C2B-910F-AAD270A7DBA4}</author>
    <author>tc={46A784BC-84B2-41A6-880A-423DBBEDC0F3}</author>
    <author>tc={D53616B7-DA98-48AC-A04C-6387B3CD0386}</author>
    <author>tc={1DA69A56-74C7-4B7E-A865-58688442798D}</author>
    <author>tc={9F8BDB6C-C208-4BA2-A9A3-4EC641387BC3}</author>
    <author>tc={C78418C5-796F-448E-8FBD-94109A8E3DCC}</author>
    <author>tc={FD00AA03-17C3-4F8E-AD81-20529FA3434B}</author>
    <author>tc={CF1B07A4-1EBF-414C-8D5B-FB72E387D565}</author>
    <author>tc={397EA600-D55F-48D6-A051-FAD42156BA5A}</author>
    <author>tc={BA9B3CAD-0F93-4DFE-BFCF-16C72DF7D74B}</author>
    <author>tc={3A9E99CF-4511-4FE5-B5BC-3B9C1217F66E}</author>
    <author>tc={15F4D529-0035-4453-8B26-34DFC3305609}</author>
    <author>tc={F6F227C0-03B0-4A05-B738-98ECA81710BD}</author>
    <author>tc={A44BD0C7-9F71-4EC5-A2FE-9AC2EBB701CA}</author>
    <author>tc={AA3E8E44-98EB-4881-BBBF-2EEDD00DD5D6}</author>
    <author>tc={B8ABE9E6-B5C9-4A54-B076-4205A22FA8FB}</author>
    <author>tc={D701B636-02FB-473D-8801-341C6727C901}</author>
    <author>tc={CD402264-D4A2-4490-8203-A118C3E39FBD}</author>
    <author>tc={79BDC564-E1CB-4E19-B427-C4AA7F3C9810}</author>
    <author>tc={BA538FDF-5FD4-4593-AB2D-0AA06BB7B108}</author>
    <author>tc={94BDD897-5851-40BB-B5E9-5952051B47C8}</author>
    <author>tc={1856BAD4-949A-4870-84F7-702D8043CBD2}</author>
    <author>tc={790B916E-EC98-44A5-90A5-7FB714BC80D4}</author>
    <author>tc={6BBD4BFA-9DC5-4702-8F71-9C3E331044C1}</author>
    <author>tc={D2AA5D61-1806-4877-B10E-A97CC153FD87}</author>
    <author>tc={8EE1DB2A-8483-4145-ABE8-3C31FE6F8670}</author>
    <author>tc={57A0FE67-1D87-42F2-9AFA-5C2F0EB4D464}</author>
    <author>tc={27547661-3030-40BD-AA42-F275AEA06DAB}</author>
    <author>tc={FD9F83B3-4AA6-4628-B534-92E41649B05E}</author>
    <author>tc={4A1F356F-E158-44BF-A0D1-39E4A2F33F1A}</author>
    <author>tc={A1ACE370-78B0-4133-A44C-8DC9D9BC22F0}</author>
    <author>tc={B26771FA-7CDD-4E6F-99FC-BCE45C7136A0}</author>
    <author>tc={2507BC04-78DD-415A-ABFD-15E08EF2EB5D}</author>
    <author>tc={15702127-6F58-48AD-B6AD-3EF4595DC16E}</author>
    <author>tc={7A592A8A-335C-4862-BBE7-67C53DF324AA}</author>
    <author>tc={B1ABA0D2-F491-4337-91C6-F49FD6F1165B}</author>
    <author>tc={0CEF0B79-BB7D-44C8-812C-8803D58C8883}</author>
    <author>tc={94E2B600-4F55-433F-8EA9-D1ECD31EF586}</author>
    <author>tc={C09717C8-8944-4B63-9001-D71CBB44693B}</author>
    <author>tc={4C3C56F6-DD40-4635-9BFC-A3B772324A55}</author>
    <author>tc={AEB33F70-0E42-4C91-B14A-7B9BE75D3D93}</author>
    <author>tc={EFA9EBE1-BC63-414B-A6FE-F7CA7172205A}</author>
    <author>tc={1BDF1F48-7E90-487D-BE33-79CA1FA41AAD}</author>
    <author>tc={9CB23B3D-D101-4027-8AA7-4C61B1D1B46C}</author>
    <author>tc={934580B6-EC39-4ED0-A966-903E2CEDD185}</author>
    <author>tc={4BDBA304-8E37-4A34-81D5-4FF9AF85A306}</author>
    <author>tc={52591F70-E82A-4798-BB61-714CE0DF3604}</author>
    <author>tc={A25CBDC6-EB38-45BE-A71D-86896DC863FB}</author>
    <author>tc={05C8D898-95AF-41F7-8C0E-945BC0F03410}</author>
    <author>tc={10DD1601-4D62-4CC5-ABDF-32CCDA020C46}</author>
  </authors>
  <commentList>
    <comment ref="B1" authorId="0" shapeId="0" xr:uid="{4F64FBF0-D55E-40D2-8D04-0EC53B1A9896}">
      <text>
        <t>[Threaded comment]
Your version of Excel allows you to read this threaded comment; however, any edits to it will get removed if the file is opened in a newer version of Excel. Learn more: https://go.microsoft.com/fwlink/?linkid=870924
Comment:
    Megacity name</t>
      </text>
    </comment>
    <comment ref="C1" authorId="1" shapeId="0" xr:uid="{27F568C3-1885-430B-B1BE-35AE0F5414FB}">
      <text>
        <t>[Threaded comment]
Your version of Excel allows you to read this threaded comment; however, any edits to it will get removed if the file is opened in a newer version of Excel. Learn more: https://go.microsoft.com/fwlink/?linkid=870924
Comment:
    Megacity country</t>
      </text>
    </comment>
    <comment ref="D1" authorId="2" shapeId="0" xr:uid="{C33C803F-CC03-44DF-B77D-6939F93E446C}">
      <text>
        <t>[Threaded comment]
Your version of Excel allows you to read this threaded comment; however, any edits to it will get removed if the file is opened in a newer version of Excel. Learn more: https://go.microsoft.com/fwlink/?linkid=870924
Comment:
    Megacity region (continent)</t>
      </text>
    </comment>
    <comment ref="J1" authorId="3" shapeId="0" xr:uid="{097C10B9-F5EF-4314-A1A4-828878A480C5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https://www.skyscrapercenter.com/cities</t>
      </text>
    </comment>
    <comment ref="K1" authorId="4" shapeId="0" xr:uid="{890EA716-4534-4A15-985D-AF8523AF7C7A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https://www.emporis.com/</t>
      </text>
    </comment>
    <comment ref="L1" authorId="5" shapeId="0" xr:uid="{375CDC75-7567-46AC-BC13-D1CACDD84E61}">
      <text>
        <t>[Threaded comment]
Your version of Excel allows you to read this threaded comment; however, any edits to it will get removed if the file is opened in a newer version of Excel. Learn more: https://go.microsoft.com/fwlink/?linkid=870924
Comment:
    Megacity latitude (degrees)</t>
      </text>
    </comment>
    <comment ref="M1" authorId="6" shapeId="0" xr:uid="{A257BDE1-4AAD-446D-9B08-2597EBFBA913}">
      <text>
        <t>[Threaded comment]
Your version of Excel allows you to read this threaded comment; however, any edits to it will get removed if the file is opened in a newer version of Excel. Learn more: https://go.microsoft.com/fwlink/?linkid=870924
Comment:
    Absolute value of megacity latitude (degrees)</t>
      </text>
    </comment>
    <comment ref="N1" authorId="7" shapeId="0" xr:uid="{120C6990-875C-410F-AC41-B08AF5EB3024}">
      <text>
        <t>[Threaded comment]
Your version of Excel allows you to read this threaded comment; however, any edits to it will get removed if the file is opened in a newer version of Excel. Learn more: https://go.microsoft.com/fwlink/?linkid=870924
Comment:
    Megacity longitude (degrees)</t>
      </text>
    </comment>
    <comment ref="O1" authorId="8" shapeId="0" xr:uid="{00B7615E-BF1C-443B-95C0-91B5F58C2D91}">
      <text>
        <t>[Threaded comment]
Your version of Excel allows you to read this threaded comment; however, any edits to it will get removed if the file is opened in a newer version of Excel. Learn more: https://go.microsoft.com/fwlink/?linkid=870924
Comment:
    2011 megacity population (thousand)</t>
      </text>
    </comment>
    <comment ref="P1" authorId="9" shapeId="0" xr:uid="{B9C74DA0-B3E4-460B-8629-5E78A797DED1}">
      <text>
        <t>[Threaded comment]
Your version of Excel allows you to read this threaded comment; however, any edits to it will get removed if the file is opened in a newer version of Excel. Learn more: https://go.microsoft.com/fwlink/?linkid=870924
Comment:
    2014 megacity population (thousand)</t>
      </text>
    </comment>
    <comment ref="Q1" authorId="10" shapeId="0" xr:uid="{19C15DCA-A67C-4B8A-B041-2CCE8F95B8B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2016 megacity population (thousand)</t>
      </text>
    </comment>
    <comment ref="R1" authorId="11" shapeId="0" xr:uid="{5529A33B-7964-4117-99DC-AC15FE29E2F5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megacity population (thousand)</t>
      </text>
    </comment>
    <comment ref="T1" authorId="12" shapeId="0" xr:uid="{9D10FDF6-C5D2-4468-800A-A5EE14D411CB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country population (thousand)</t>
      </text>
    </comment>
    <comment ref="U1" authorId="13" shapeId="0" xr:uid="{E816CFCE-7356-4F8C-BCA4-229E430884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country population (million)</t>
      </text>
    </comment>
    <comment ref="W1" authorId="14" shapeId="0" xr:uid="{9A55033D-EABC-4C7B-811C-295DBBAE13D9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megacity to country population (%)</t>
      </text>
    </comment>
    <comment ref="X1" authorId="15" shapeId="0" xr:uid="{2380AC6B-A6FE-4586-9853-F087A9F8E325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2015-2005 megacity population growth (%)</t>
      </text>
    </comment>
    <comment ref="Y1" authorId="16" shapeId="0" xr:uid="{9B2AA15C-F0A4-4DC8-B1B9-5CB8EB29D28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2015-2005 country population growth (%)</t>
      </text>
    </comment>
    <comment ref="AA1" authorId="17" shapeId="0" xr:uid="{E83D292E-43A7-454D-AEFF-9ED8168C79BC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http://atlasofurbanexpansion.org/</t>
      </text>
    </comment>
    <comment ref="AB1" authorId="18" shapeId="0" xr:uid="{80A0728C-17C9-4999-970E-A05EC2E3FAEC}">
      <text>
        <t>[Threaded comment]
Your version of Excel allows you to read this threaded comment; however, any edits to it will get removed if the file is opened in a newer version of Excel. Learn more: https://go.microsoft.com/fwlink/?linkid=870924
Comment:
    Megacity area (km²)</t>
      </text>
    </comment>
    <comment ref="AC1" authorId="19" shapeId="0" xr:uid="{ED0BB2D8-60CE-4725-828B-F2677B49456C}">
      <text>
        <t>[Threaded comment]
Your version of Excel allows you to read this threaded comment; however, any edits to it will get removed if the file is opened in a newer version of Excel. Learn more: https://go.microsoft.com/fwlink/?linkid=870924
Comment:
    Megacity area (km²)</t>
      </text>
    </comment>
    <comment ref="AE1" authorId="20" shapeId="0" xr:uid="{DC414F06-A34C-4A09-8895-4074A42518DC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megacity population density (thousand/km²)</t>
      </text>
    </comment>
    <comment ref="AG1" authorId="21" shapeId="0" xr:uid="{A28BD9A5-EE35-4D11-B9FB-9852E01DD7BD}">
      <text>
        <t>[Threaded comment]
Your version of Excel allows you to read this threaded comment; however, any edits to it will get removed if the file is opened in a newer version of Excel. Learn more: https://go.microsoft.com/fwlink/?linkid=870924
Comment:
    Country area (km²)</t>
      </text>
    </comment>
    <comment ref="AH1" authorId="22" shapeId="0" xr:uid="{BEDD43E3-0085-4419-8384-E929DB8C360F}">
      <text>
        <t>[Threaded comment]
Your version of Excel allows you to read this threaded comment; however, any edits to it will get removed if the file is opened in a newer version of Excel. Learn more: https://go.microsoft.com/fwlink/?linkid=870924
Comment:
    Country area (thousand km²)</t>
      </text>
    </comment>
    <comment ref="AI1" authorId="23" shapeId="0" xr:uid="{0787A733-4FDC-4589-BF67-4514D5696E3B}">
      <text>
        <t>[Threaded comment]
Your version of Excel allows you to read this threaded comment; however, any edits to it will get removed if the file is opened in a newer version of Excel. Learn more: https://go.microsoft.com/fwlink/?linkid=870924
Comment:
    Megacity to country area (%)</t>
      </text>
    </comment>
    <comment ref="AJ1" authorId="24" shapeId="0" xr:uid="{34486DC7-2804-4E58-960F-2A6F2C4A247B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country population density (inhabitants/km²)</t>
      </text>
    </comment>
    <comment ref="AL1" authorId="25" shapeId="0" xr:uid="{5BD271D7-5700-4106-93A8-130D6DBF7923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megacity to country population density</t>
      </text>
    </comment>
    <comment ref="AM1" authorId="26" shapeId="0" xr:uid="{9C0A1912-AFDC-4ADC-8171-D62E9336D2CE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country GDP (trillion US$)</t>
      </text>
    </comment>
    <comment ref="AN1" authorId="27" shapeId="0" xr:uid="{881728D4-B3CA-43C9-82A8-0118F37485E5}">
      <text>
        <t>[Threaded comment]
Your version of Excel allows you to read this threaded comment; however, any edits to it will get removed if the file is opened in a newer version of Excel. Learn more: https://go.microsoft.com/fwlink/?linkid=870924
Comment:
    Megacity GDP 2013~2019 (US$)</t>
      </text>
    </comment>
    <comment ref="AO1" authorId="28" shapeId="0" xr:uid="{597878E5-0C51-42D7-8134-1365352FBA6E}">
      <text>
        <t>[Threaded comment]
Your version of Excel allows you to read this threaded comment; however, any edits to it will get removed if the file is opened in a newer version of Excel. Learn more: https://go.microsoft.com/fwlink/?linkid=870924
Comment:
    2013~2019 (billion US$)</t>
      </text>
    </comment>
    <comment ref="AQ1" authorId="29" shapeId="0" xr:uid="{7FD9790E-5586-455F-AB46-CBDE6230EBC1}">
      <text>
        <t>[Threaded comment]
Your version of Excel allows you to read this threaded comment; however, any edits to it will get removed if the file is opened in a newer version of Excel. Learn more: https://go.microsoft.com/fwlink/?linkid=870924
Comment:
    Megacity GDP per capita (2016 population)</t>
      </text>
    </comment>
    <comment ref="AS1" authorId="30" shapeId="0" xr:uid="{00C1F05E-4F0A-406B-8FFB-70D5150D7E8E}">
      <text>
        <t>[Threaded comment]
Your version of Excel allows you to read this threaded comment; however, any edits to it will get removed if the file is opened in a newer version of Excel. Learn more: https://go.microsoft.com/fwlink/?linkid=870924
Comment:
    %</t>
      </text>
    </comment>
    <comment ref="AT1" authorId="31" shapeId="0" xr:uid="{C99EE1C7-D63D-4B9D-B9BF-8A671E0C808A}">
      <text>
        <t>[Threaded comment]
Your version of Excel allows you to read this threaded comment; however, any edits to it will get removed if the file is opened in a newer version of Excel. Learn more: https://go.microsoft.com/fwlink/?linkid=870924
Comment:
    2014 Brookings (and other sources) GDP in PPP (billion US$)</t>
      </text>
    </comment>
    <comment ref="AV1" authorId="32" shapeId="0" xr:uid="{5E6CE4D4-1431-4ED0-9BD1-3AFF8D65E14B}">
      <text>
        <t>[Threaded comment]
Your version of Excel allows you to read this threaded comment; however, any edits to it will get removed if the file is opened in a newer version of Excel. Learn more: https://go.microsoft.com/fwlink/?linkid=870924
Comment:
    %</t>
      </text>
    </comment>
    <comment ref="AW1" authorId="33" shapeId="0" xr:uid="{CFF93A31-DA04-4215-BBFB-27544529DDBC}">
      <text>
        <t>[Threaded comment]
Your version of Excel allows you to read this threaded comment; however, any edits to it will get removed if the file is opened in a newer version of Excel. Learn more: https://go.microsoft.com/fwlink/?linkid=870924
Comment:
    2014 megacity GDP in PPP (million US$)</t>
      </text>
    </comment>
    <comment ref="AX1" authorId="34" shapeId="0" xr:uid="{A1D254A7-A1BB-4787-840E-B75B593FDC54}">
      <text>
        <t>[Threaded comment]
Your version of Excel allows you to read this threaded comment; however, any edits to it will get removed if the file is opened in a newer version of Excel. Learn more: https://go.microsoft.com/fwlink/?linkid=870924
Comment:
    2014 megacity Brookings GDP in PPP per capita (US$)</t>
      </text>
    </comment>
    <comment ref="AY1" authorId="35" shapeId="0" xr:uid="{3D9B4F9A-E0B8-44E0-8365-10C3B9107CD1}">
      <text>
        <t>[Threaded comment]
Your version of Excel allows you to read this threaded comment; however, any edits to it will get removed if the file is opened in a newer version of Excel. Learn more: https://go.microsoft.com/fwlink/?linkid=870924
Comment:
    2014 megacity GDP in PPP per capita (US$)</t>
      </text>
    </comment>
    <comment ref="AZ1" authorId="36" shapeId="0" xr:uid="{DD0B5CC6-9DA4-4BF9-9CDF-B11B870CC8A5}">
      <text>
        <t>[Threaded comment]
Your version of Excel allows you to read this threaded comment; however, any edits to it will get removed if the file is opened in a newer version of Excel. Learn more: https://go.microsoft.com/fwlink/?linkid=870924
Comment:
    2016 GPP in PPP (million US$)</t>
      </text>
    </comment>
    <comment ref="BB1" authorId="37" shapeId="0" xr:uid="{2F991C76-CE53-4EEB-B891-B779A68BC311}">
      <text>
        <t>[Threaded comment]
Your version of Excel allows you to read this threaded comment; however, any edits to it will get removed if the file is opened in a newer version of Excel. Learn more: https://go.microsoft.com/fwlink/?linkid=870924
Comment:
    2016 GDP in PPP per capita (US$)</t>
      </text>
    </comment>
    <comment ref="BD1" authorId="38" shapeId="0" xr:uid="{2CECA490-F66D-4325-AF6B-7D2FB302FC18}">
      <text>
        <t>[Threaded comment]
Your version of Excel allows you to read this threaded comment; however, any edits to it will get removed if the file is opened in a newer version of Excel. Learn more: https://go.microsoft.com/fwlink/?linkid=870924
Comment:
    2016-2014 GDP per capita (thousand US$)</t>
      </text>
    </comment>
    <comment ref="BF1" authorId="39" shapeId="0" xr:uid="{FFF2C506-8946-46EA-A1FD-8A16DA99A2F4}">
      <text>
        <t>[Threaded comment]
Your version of Excel allows you to read this threaded comment; however, any edits to it will get removed if the file is opened in a newer version of Excel. Learn more: https://go.microsoft.com/fwlink/?linkid=870924
Comment:
    2016-2014 GDP per capita (%)</t>
      </text>
    </comment>
    <comment ref="BH1" authorId="40" shapeId="0" xr:uid="{D055C385-B87D-414C-B73A-67DF183413E9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country GNI in PPP per capita (thousand US$)</t>
      </text>
    </comment>
    <comment ref="BJ1" authorId="41" shapeId="0" xr:uid="{168DE3A8-EC05-4BC9-AD03-AED94C667D99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Gini income inequality index</t>
      </text>
    </comment>
    <comment ref="BK1" authorId="42" shapeId="0" xr:uid="{580E1282-88A4-431F-910F-B3AC52492FEE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Human Development Index (HDI)</t>
      </text>
    </comment>
    <comment ref="BL1" authorId="43" shapeId="0" xr:uid="{E298532C-FF4F-4774-9CE3-EDEBF6E61B05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life expectancy (years)</t>
      </text>
    </comment>
    <comment ref="BM1" authorId="44" shapeId="0" xr:uid="{F21637D8-9387-4215-9A61-DFBDDC213582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GNI per capita minus HDI (ranks)</t>
      </text>
    </comment>
    <comment ref="BN1" authorId="45" shapeId="0" xr:uid="{23C27F02-0CF3-4044-9BFC-F552E051AB4C}">
      <text>
        <t>[Threaded comment]
Your version of Excel allows you to read this threaded comment; however, any edits to it will get removed if the file is opened in a newer version of Excel. Learn more: https://go.microsoft.com/fwlink/?linkid=870924
Comment:
    inequality adjusted HDI (http://hdr.undp.org/en/countries)</t>
      </text>
    </comment>
    <comment ref="BP1" authorId="46" shapeId="0" xr:uid="{3BCDB180-DE44-4930-B077-585EFE3A47EA}">
      <text>
        <t>[Threaded comment]
Your version of Excel allows you to read this threaded comment; however, any edits to it will get removed if the file is opened in a newer version of Excel. Learn more: https://go.microsoft.com/fwlink/?linkid=870924
Comment:
    Palma ratio 2010-2017 (http://hdr.undp.org/en/countries)</t>
      </text>
    </comment>
    <comment ref="BR1" authorId="47" shapeId="0" xr:uid="{83737D96-74D0-4B70-A3FB-84A09B294676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https://blog.euromonitor.com/income-inequality-ranking-worlds-major-cities/</t>
      </text>
    </comment>
    <comment ref="BS1" authorId="48" shapeId="0" xr:uid="{5D48AACD-376B-4C2B-910F-AAD270A7DBA4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country energy consumption per capita (kWh)</t>
      </text>
    </comment>
    <comment ref="BT1" authorId="49" shapeId="0" xr:uid="{46A784BC-84B2-41A6-880A-423DBBEDC0F3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country primary energy consumption per capita (GJ)</t>
      </text>
    </comment>
    <comment ref="BU1" authorId="50" shapeId="0" xr:uid="{D53616B7-DA98-48AC-A04C-6387B3CD038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2011 city electricity consumption (GWh)</t>
      </text>
    </comment>
    <comment ref="BW1" authorId="51" shapeId="0" xr:uid="{1DA69A56-74C7-4B7E-A865-58688442798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2011 city electricity consumption per capita (kWh)</t>
      </text>
    </comment>
    <comment ref="CC1" authorId="52" shapeId="0" xr:uid="{9F8BDB6C-C208-4BA2-A9A3-4EC641387BC3}">
      <text>
        <t>[Threaded comment]
Your version of Excel allows you to read this threaded comment; however, any edits to it will get removed if the file is opened in a newer version of Excel. Learn more: https://go.microsoft.com/fwlink/?linkid=870924
Comment:
    2011 city transportation energy consumption (TJ)</t>
      </text>
    </comment>
    <comment ref="CD1" authorId="53" shapeId="0" xr:uid="{C78418C5-796F-448E-8FBD-94109A8E3DCC}">
      <text>
        <t>[Threaded comment]
Your version of Excel allows you to read this threaded comment; however, any edits to it will get removed if the file is opened in a newer version of Excel. Learn more: https://go.microsoft.com/fwlink/?linkid=870924
Comment:
    2011 city transportation energy consumption (GWh)</t>
      </text>
    </comment>
    <comment ref="CG1" authorId="54" shapeId="0" xr:uid="{FD00AA03-17C3-4F8E-AD81-20529FA3434B}">
      <text>
        <t>[Threaded comment]
Your version of Excel allows you to read this threaded comment; however, any edits to it will get removed if the file is opened in a newer version of Excel. Learn more: https://go.microsoft.com/fwlink/?linkid=870924
Comment:
    2011 city transportation energy consumption per capita (kWh)</t>
      </text>
    </comment>
    <comment ref="CI1" authorId="55" shapeId="0" xr:uid="{CF1B07A4-1EBF-414C-8D5B-FB72E387D565}">
      <text>
        <t>[Threaded comment]
Your version of Excel allows you to read this threaded comment; however, any edits to it will get removed if the file is opened in a newer version of Excel. Learn more: https://go.microsoft.com/fwlink/?linkid=870924
Comment:
    2011 megacity energy consumption (TJ)</t>
      </text>
    </comment>
    <comment ref="CJ1" authorId="56" shapeId="0" xr:uid="{397EA600-D55F-48D6-A051-FAD42156BA5A}">
      <text>
        <t>[Threaded comment]
Your version of Excel allows you to read this threaded comment; however, any edits to it will get removed if the file is opened in a newer version of Excel. Learn more: https://go.microsoft.com/fwlink/?linkid=870924
Comment:
    2011 megacity energy consumption (GWh)</t>
      </text>
    </comment>
    <comment ref="CL1" authorId="57" shapeId="0" xr:uid="{BA9B3CAD-0F93-4DFE-BFCF-16C72DF7D74B}">
      <text>
        <t>[Threaded comment]
Your version of Excel allows you to read this threaded comment; however, any edits to it will get removed if the file is opened in a newer version of Excel. Learn more: https://go.microsoft.com/fwlink/?linkid=870924
Comment:
    2011 megacity energy consumption per capita (kWh)</t>
      </text>
    </comment>
    <comment ref="CO1" authorId="58" shapeId="0" xr:uid="{3A9E99CF-4511-4FE5-B5BC-3B9C1217F66E}">
      <text>
        <t>[Threaded comment]
Your version of Excel allows you to read this threaded comment; however, any edits to it will get removed if the file is opened in a newer version of Excel. Learn more: https://go.microsoft.com/fwlink/?linkid=870924
Comment:
    Carboon footprint per capita (tons) (http://citycarbonfootprints.info/)</t>
      </text>
    </comment>
    <comment ref="CP1" authorId="59" shapeId="0" xr:uid="{15F4D529-0035-4453-8B26-34DFC3305609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http://citycarbonfootprints.info/</t>
      </text>
    </comment>
    <comment ref="CQ1" authorId="60" shapeId="0" xr:uid="{F6F227C0-03B0-4A05-B738-98ECA81710BD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http://citycarbonfootprints.info/</t>
      </text>
    </comment>
    <comment ref="CR1" authorId="61" shapeId="0" xr:uid="{A44BD0C7-9F71-4EC5-A2FE-9AC2EBB701CA}">
      <text>
        <t>[Threaded comment]
Your version of Excel allows you to read this threaded comment; however, any edits to it will get removed if the file is opened in a newer version of Excel. Learn more: https://go.microsoft.com/fwlink/?linkid=870924
Comment:
    logarithm of carboon footprint per capita (tons) (http://citycarbonfootprints.info/)</t>
      </text>
    </comment>
    <comment ref="CS1" authorId="62" shapeId="0" xr:uid="{AA3E8E44-98EB-4881-BBBF-2EEDD00DD5D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2016 country Ecological Footprint per capita (hectares)</t>
      </text>
    </comment>
    <comment ref="CU1" authorId="63" shapeId="0" xr:uid="{B8ABE9E6-B5C9-4A54-B076-4205A22FA8FB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megacity Ecological Footprint (thousand hectares)</t>
      </text>
    </comment>
    <comment ref="CW1" authorId="64" shapeId="0" xr:uid="{D701B636-02FB-473D-8801-341C6727C901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megacity Ecological Footprint (thousand km²)</t>
      </text>
    </comment>
    <comment ref="CY1" authorId="65" shapeId="0" xr:uid="{CD402264-D4A2-4490-8203-A118C3E39FB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megacity Ecological Footprint over country area</t>
      </text>
    </comment>
    <comment ref="CZ1" authorId="66" shapeId="0" xr:uid="{79BDC564-E1CB-4E19-B427-C4AA7F3C9810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megacity Ecological Footprint over city area</t>
      </text>
    </comment>
    <comment ref="DB1" authorId="67" shapeId="0" xr:uid="{BA538FDF-5FD4-4593-AB2D-0AA06BB7B108}">
      <text>
        <t>[Threaded comment]
Your version of Excel allows you to read this threaded comment; however, any edits to it will get removed if the file is opened in a newer version of Excel. Learn more: https://go.microsoft.com/fwlink/?linkid=870924
Comment:
    2017 annual daytime UHI (°C)</t>
      </text>
    </comment>
    <comment ref="DC1" authorId="68" shapeId="0" xr:uid="{94BDD897-5851-40BB-B5E9-5952051B47C8}">
      <text>
        <t>[Threaded comment]
Your version of Excel allows you to read this threaded comment; however, any edits to it will get removed if the file is opened in a newer version of Excel. Learn more: https://go.microsoft.com/fwlink/?linkid=870924
Comment:
    2017 annual nighttime UHI (°C)</t>
      </text>
    </comment>
    <comment ref="DD1" authorId="69" shapeId="0" xr:uid="{1856BAD4-949A-4870-84F7-702D8043CBD2}">
      <text>
        <t>[Threaded comment]
Your version of Excel allows you to read this threaded comment; however, any edits to it will get removed if the file is opened in a newer version of Excel. Learn more: https://go.microsoft.com/fwlink/?linkid=870924
Comment:
    2017 summer daytime UHI (°C)</t>
      </text>
    </comment>
    <comment ref="DE1" authorId="70" shapeId="0" xr:uid="{790B916E-EC98-44A5-90A5-7FB714BC80D4}">
      <text>
        <t>[Threaded comment]
Your version of Excel allows you to read this threaded comment; however, any edits to it will get removed if the file is opened in a newer version of Excel. Learn more: https://go.microsoft.com/fwlink/?linkid=870924
Comment:
    2017 summer nighttime UHI (°C)</t>
      </text>
    </comment>
    <comment ref="DF1" authorId="71" shapeId="0" xr:uid="{6BBD4BFA-9DC5-4702-8F71-9C3E331044C1}">
      <text>
        <t>[Threaded comment]
Your version of Excel allows you to read this threaded comment; however, any edits to it will get removed if the file is opened in a newer version of Excel. Learn more: https://go.microsoft.com/fwlink/?linkid=870924
Comment:
    2017 winter daytime UHI (°C)</t>
      </text>
    </comment>
    <comment ref="DG1" authorId="72" shapeId="0" xr:uid="{D2AA5D61-1806-4877-B10E-A97CC153FD87}">
      <text>
        <t>[Threaded comment]
Your version of Excel allows you to read this threaded comment; however, any edits to it will get removed if the file is opened in a newer version of Excel. Learn more: https://go.microsoft.com/fwlink/?linkid=870924
Comment:
    2017 winter nighttime UHI (°C)</t>
      </text>
    </comment>
    <comment ref="DH1" authorId="73" shapeId="0" xr:uid="{8EE1DB2A-8483-4145-ABE8-3C31FE6F8670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winter temperature (°C)</t>
      </text>
    </comment>
    <comment ref="DI1" authorId="74" shapeId="0" xr:uid="{57A0FE67-1D87-42F2-9AFA-5C2F0EB4D464}">
      <text>
        <t>[Threaded comment]
Your version of Excel allows you to read this threaded comment; however, any edits to it will get removed if the file is opened in a newer version of Excel. Learn more: https://go.microsoft.com/fwlink/?linkid=870924
Comment:
    Heating Degree Days 2018</t>
      </text>
    </comment>
    <comment ref="DJ1" authorId="75" shapeId="0" xr:uid="{27547661-3030-40BD-AA42-F275AEA06DAB}">
      <text>
        <t>[Threaded comment]
Your version of Excel allows you to read this threaded comment; however, any edits to it will get removed if the file is opened in a newer version of Excel. Learn more: https://go.microsoft.com/fwlink/?linkid=870924
Comment:
    2018 summer temperature (°C)</t>
      </text>
    </comment>
    <comment ref="DK1" authorId="76" shapeId="0" xr:uid="{FD9F83B3-4AA6-4628-B534-92E41649B05E}">
      <text>
        <t>[Threaded comment]
Your version of Excel allows you to read this threaded comment; however, any edits to it will get removed if the file is opened in a newer version of Excel. Learn more: https://go.microsoft.com/fwlink/?linkid=870924
Comment:
    Cooling Degree Days 2018</t>
      </text>
    </comment>
    <comment ref="DL1" authorId="77" shapeId="0" xr:uid="{4A1F356F-E158-44BF-A0D1-39E4A2F33F1A}">
      <text>
        <t>[Threaded comment]
Your version of Excel allows you to read this threaded comment; however, any edits to it will get removed if the file is opened in a newer version of Excel. Learn more: https://go.microsoft.com/fwlink/?linkid=870924
Comment:
    Heating + Cooling Degree Days 2018</t>
      </text>
    </comment>
    <comment ref="DR1" authorId="78" shapeId="0" xr:uid="{A1ACE370-78B0-4133-A44C-8DC9D9BC22F0}">
      <text>
        <t>[Threaded comment]
Your version of Excel allows you to read this threaded comment; however, any edits to it will get removed if the file is opened in a newer version of Excel. Learn more: https://go.microsoft.com/fwlink/?linkid=870924
Comment:
    UHI average intensity in literature (°C)</t>
      </text>
    </comment>
    <comment ref="DS1" authorId="79" shapeId="0" xr:uid="{B26771FA-7CDD-4E6F-99FC-BCE45C7136A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https://www.weatherbase.com/</t>
      </text>
    </comment>
    <comment ref="DT1" authorId="80" shapeId="0" xr:uid="{2507BC04-78DD-415A-ABFD-15E08EF2EB5D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https://www.weatherbase.com/</t>
      </text>
    </comment>
    <comment ref="DU1" authorId="81" shapeId="0" xr:uid="{15702127-6F58-48AD-B6AD-3EF4595DC16E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https://www.weatherbase.com/</t>
      </text>
    </comment>
    <comment ref="DV1" authorId="82" shapeId="0" xr:uid="{7A592A8A-335C-4862-BBE7-67C53DF324AA}">
      <text>
        <t>[Threaded comment]
Your version of Excel allows you to read this threaded comment; however, any edits to it will get removed if the file is opened in a newer version of Excel. Learn more: https://go.microsoft.com/fwlink/?linkid=870924
Comment:
    (mm) https://www.weatherbase.com/</t>
      </text>
    </comment>
    <comment ref="DW1" authorId="83" shapeId="0" xr:uid="{B1ABA0D2-F491-4337-91C6-F49FD6F1165B}">
      <text>
        <t>[Threaded comment]
Your version of Excel allows you to read this threaded comment; however, any edits to it will get removed if the file is opened in a newer version of Excel. Learn more: https://go.microsoft.com/fwlink/?linkid=870924
Comment:
    Elevation above sea level (m) https://en.climate-data.org/</t>
      </text>
    </comment>
    <comment ref="DY1" authorId="84" shapeId="0" xr:uid="{0CEF0B79-BB7D-44C8-812C-8803D58C8883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http://www.citymayors.com/statistics/largest-cities-alphabetical.html</t>
      </text>
    </comment>
    <comment ref="EB1" authorId="85" shapeId="0" xr:uid="{94E2B600-4F55-433F-8EA9-D1ECD31EF586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http://www.citymayors.com/statistics/largest-cities-alphabetical.html</t>
      </text>
    </comment>
    <comment ref="EE1" authorId="86" shapeId="0" xr:uid="{C09717C8-8944-4B63-9001-D71CBB44693B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http://www.citymayors.com/statistics/largest-cities-alphabetical.html</t>
      </text>
    </comment>
    <comment ref="EH1" authorId="87" shapeId="0" xr:uid="{4C3C56F6-DD40-4635-9BFC-A3B772324A55}">
      <text>
        <t>[Threaded comment]
Your version of Excel allows you to read this threaded comment; however, any edits to it will get removed if the file is opened in a newer version of Excel. Learn more: https://go.microsoft.com/fwlink/?linkid=870924
Comment:
    Country median age (years) https://www.citypopulation.de/en/world/bymap/MedianAge.html</t>
      </text>
    </comment>
    <comment ref="EI1" authorId="88" shapeId="0" xr:uid="{AEB33F70-0E42-4C91-B14A-7B9BE75D3D93}">
      <text>
        <t>[Threaded comment]
Your version of Excel allows you to read this threaded comment; however, any edits to it will get removed if the file is opened in a newer version of Excel. Learn more: https://go.microsoft.com/fwlink/?linkid=870924
Comment:
    UN Education Index per country (http://hdr.undp.org/en/content/education-index)</t>
      </text>
    </comment>
    <comment ref="EJ1" authorId="89" shapeId="0" xr:uid="{EFA9EBE1-BC63-414B-A6FE-F7CA7172205A}">
      <text>
        <t>[Threaded comment]
Your version of Excel allows you to read this threaded comment; however, any edits to it will get removed if the file is opened in a newer version of Excel. Learn more: https://go.microsoft.com/fwlink/?linkid=870924
Comment:
    Electricity prices for households, March 2020 (US$/kWh), https://www.globalpetrolprices.com/electricity_prices/</t>
      </text>
    </comment>
    <comment ref="EL1" authorId="90" shapeId="0" xr:uid="{1BDF1F48-7E90-487D-BE33-79CA1FA41AAD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https://g2lm-lic.iza.org/call-phase-iv/list-of-lic/</t>
      </text>
    </comment>
    <comment ref="DV3" authorId="91" shapeId="0" xr:uid="{9CB23B3D-D101-4027-8AA7-4C61B1D1B46C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https://en.climate-data.org/africa/congo-kinshasa/kinshasa/kinshasa-408/#:~:text=Kinshasa%20Climate%20(Congo%2DKinshasa)&amp;text=The%20temperature%20here%20averages%2025.5,is%201368%20mm%20%7C%2053.9%20inch.</t>
      </text>
    </comment>
    <comment ref="DV13" authorId="92" shapeId="0" xr:uid="{934580B6-EC39-4ED0-A966-903E2CEDD185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https://en.climate-data.org/asia/indonesia/jakarta-special-capital-region/jakarta-714756/#:~:text=Jakarta%20Climate%20(Indonesia)&amp;text=The%20climate%20here%20is%20classified,mm%20%7C%2073.0%20inch%20per%20year.</t>
      </text>
    </comment>
    <comment ref="EB16" authorId="93" shapeId="0" xr:uid="{4BDBA304-8E37-4A34-81D5-4FF9AF85A306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https://www.macrotrends.net/cities/22046/lahore/population#:~:text=The%20metro%20area%20population%20of,a%204.21%25%20increase%20from%202016.</t>
      </text>
    </comment>
    <comment ref="AA24" authorId="94" shapeId="0" xr:uid="{52591F70-E82A-4798-BB61-714CE0DF3604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http://atlasofurbanexpansion.org/cities/view/Tehran#:~:text=The%20Urban%20Extent%20of%20Tehran,urban%20extent%20was%2047%2C103%20hectares.</t>
      </text>
    </comment>
    <comment ref="DV34" authorId="95" shapeId="0" xr:uid="{A25CBDC6-EB38-45BE-A71D-86896DC863FB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https://en.climate-data.org/south-america/peru/lima/lima-1014/#:~:text=The%20average%20temperature%20in%20Lima,mm%20%7C%200.6%20inch%20per%20year.</t>
      </text>
    </comment>
    <comment ref="AA36" authorId="96" shapeId="0" xr:uid="{05C8D898-95AF-41F7-8C0E-945BC0F0341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https://link.springer.com/chapter/10.1007/978-94-007-7088-1_29</t>
      </text>
    </comment>
    <comment ref="AC36" authorId="97" shapeId="0" xr:uid="{10DD1601-4D62-4CC5-ABDF-32CCDA020C46}">
      <text>
        <t>[Threaded comment]
Your version of Excel allows you to read this threaded comment; however, any edits to it will get removed if the file is opened in a newer version of Excel. Learn more: https://go.microsoft.com/fwlink/?linkid=870924
Comment:
    4557 km² in https://wikitravel.org/en/Rio_de_Janeiro</t>
      </text>
    </comment>
  </commentList>
</comments>
</file>

<file path=xl/sharedStrings.xml><?xml version="1.0" encoding="utf-8"?>
<sst xmlns="http://schemas.openxmlformats.org/spreadsheetml/2006/main" count="250" uniqueCount="206">
  <si>
    <t>India</t>
  </si>
  <si>
    <t>Asia</t>
  </si>
  <si>
    <t>Bangkok</t>
  </si>
  <si>
    <t>Thailand</t>
  </si>
  <si>
    <t>Beijing</t>
  </si>
  <si>
    <t>China</t>
  </si>
  <si>
    <t>Colombia</t>
  </si>
  <si>
    <t>South America</t>
  </si>
  <si>
    <t>Buenos Aires</t>
  </si>
  <si>
    <t>Argentina</t>
  </si>
  <si>
    <t>Cairo</t>
  </si>
  <si>
    <t>Egypt</t>
  </si>
  <si>
    <t>Africa</t>
  </si>
  <si>
    <t>Kolkata</t>
  </si>
  <si>
    <t>Chongqing</t>
  </si>
  <si>
    <t>Dhaka</t>
  </si>
  <si>
    <t>Bangladesh</t>
  </si>
  <si>
    <t>Guangzhou</t>
  </si>
  <si>
    <t>Istanbul</t>
  </si>
  <si>
    <t>Turkey</t>
  </si>
  <si>
    <t>Jakarta</t>
  </si>
  <si>
    <t>Indonesia</t>
  </si>
  <si>
    <t>Karachi</t>
  </si>
  <si>
    <t>Pakistan</t>
  </si>
  <si>
    <t>Kinshasa</t>
  </si>
  <si>
    <t>Lagos</t>
  </si>
  <si>
    <t>Nigeria</t>
  </si>
  <si>
    <t>Lahore</t>
  </si>
  <si>
    <t>Lima</t>
  </si>
  <si>
    <t>Peru</t>
  </si>
  <si>
    <t>Los Angeles</t>
  </si>
  <si>
    <t>North America</t>
  </si>
  <si>
    <t>Manila</t>
  </si>
  <si>
    <t>Philippines</t>
  </si>
  <si>
    <t>Mexico City</t>
  </si>
  <si>
    <t>Mexico</t>
  </si>
  <si>
    <t>Russian Federation</t>
  </si>
  <si>
    <t>Europe</t>
  </si>
  <si>
    <t>New York</t>
  </si>
  <si>
    <t>Osaka</t>
  </si>
  <si>
    <t>Japan</t>
  </si>
  <si>
    <t xml:space="preserve">Paris </t>
  </si>
  <si>
    <t>France</t>
  </si>
  <si>
    <t>Rio de Janeiro</t>
  </si>
  <si>
    <t>Brazil</t>
  </si>
  <si>
    <t>Shanghai</t>
  </si>
  <si>
    <t>Shenzhen</t>
  </si>
  <si>
    <t>Tianjin</t>
  </si>
  <si>
    <t>Tokyo</t>
  </si>
  <si>
    <t>Bogota</t>
  </si>
  <si>
    <t>Sao Paulo</t>
  </si>
  <si>
    <t>Mumbai</t>
  </si>
  <si>
    <t>London</t>
  </si>
  <si>
    <t>Seoul</t>
  </si>
  <si>
    <t>South Korea</t>
  </si>
  <si>
    <t>Tehran</t>
  </si>
  <si>
    <t>Iran</t>
  </si>
  <si>
    <t>Skyscrap</t>
  </si>
  <si>
    <t>Case</t>
  </si>
  <si>
    <t>abs_Lat_degr</t>
  </si>
  <si>
    <t>New Delhi</t>
  </si>
  <si>
    <t>Chennai</t>
  </si>
  <si>
    <t>Pop11_thou</t>
  </si>
  <si>
    <t>Pop14_thou</t>
  </si>
  <si>
    <t>Pop16_thou</t>
  </si>
  <si>
    <t>CounPop18_thou</t>
  </si>
  <si>
    <t>CounPop18_mill</t>
  </si>
  <si>
    <t>ln_CounPop18_mill</t>
  </si>
  <si>
    <t>Cit_o_CounPopGro_1505</t>
  </si>
  <si>
    <t>CounArea_km2</t>
  </si>
  <si>
    <t>CounArea_thoukm2</t>
  </si>
  <si>
    <t>CounPopDen18_pkm2</t>
  </si>
  <si>
    <t>ln_CounPopDen18_pkm2</t>
  </si>
  <si>
    <t>Cit_o_CounPopDen18</t>
  </si>
  <si>
    <t>CounGDP18_tril</t>
  </si>
  <si>
    <t>Brook_GDP14_PPP_bil</t>
  </si>
  <si>
    <t>ln_Brook_GDP14_PPP_bil</t>
  </si>
  <si>
    <t>GDP14_PPP_mil</t>
  </si>
  <si>
    <t>GDP16_PPP_mil</t>
  </si>
  <si>
    <t>Cit_o_CounPop18_p100</t>
  </si>
  <si>
    <t>PopGrow_1505_p100</t>
  </si>
  <si>
    <t>CounPopGro_1505_p100</t>
  </si>
  <si>
    <t>Cit_o_CounArea_p100</t>
  </si>
  <si>
    <t>Cit_o_CounGDP_p100</t>
  </si>
  <si>
    <t>Brook_Cit_o_CounGDP_p100</t>
  </si>
  <si>
    <t>Brook_GDP14_PPP_PC</t>
  </si>
  <si>
    <t>GDP14_PPP_PC</t>
  </si>
  <si>
    <t>GDP16_PPP_PC</t>
  </si>
  <si>
    <t>ln_GDP16_PPP_PC</t>
  </si>
  <si>
    <t>GDP1614_PC_thou</t>
  </si>
  <si>
    <t>GDP1614_PC_thou_</t>
  </si>
  <si>
    <t>GDP1614_PC_pc_</t>
  </si>
  <si>
    <t>LifeExp18</t>
  </si>
  <si>
    <t>GNI18_PC_m_HDI18_ranks</t>
  </si>
  <si>
    <t>CounEnerCons18_PC_kWh</t>
  </si>
  <si>
    <t>CounPrimEnerCons18_PC_GJ</t>
  </si>
  <si>
    <t>ElecCons11_kWh_per_UScent</t>
  </si>
  <si>
    <t>ln_ElecCons11_kWh_per_UScent</t>
  </si>
  <si>
    <t>EnerTrans11_TJ</t>
  </si>
  <si>
    <t>EnerCons11_TJ</t>
  </si>
  <si>
    <t>Trans_o_Ener11_PC_p100</t>
  </si>
  <si>
    <t>Pop_thou</t>
  </si>
  <si>
    <t>CarbFoot_thou_tons</t>
  </si>
  <si>
    <t>Day_UHI17_degrC</t>
  </si>
  <si>
    <t>Night_UHI17_degrC</t>
  </si>
  <si>
    <t>SumDay_UHI17_degrC</t>
  </si>
  <si>
    <t>SumNight_UHI17_degrC</t>
  </si>
  <si>
    <t>WinDay_UHI17_degrC</t>
  </si>
  <si>
    <t>WinNight_UHI17_degrC</t>
  </si>
  <si>
    <t>Sum18_Temp_degrC</t>
  </si>
  <si>
    <t>DD18</t>
  </si>
  <si>
    <t>CDD18</t>
  </si>
  <si>
    <t>HDD18</t>
  </si>
  <si>
    <t>UHI3_degrC</t>
  </si>
  <si>
    <t>UHI2_degrC</t>
  </si>
  <si>
    <t>UHI1_degrC</t>
  </si>
  <si>
    <t>UHI4_degrC</t>
  </si>
  <si>
    <t>UHI5_degrC</t>
  </si>
  <si>
    <t>GDP1319</t>
  </si>
  <si>
    <t>ln_GDP16_PPP_mil</t>
  </si>
  <si>
    <t>GDP1614_PC_p100</t>
  </si>
  <si>
    <t>Trans_o_Ener11_p100</t>
  </si>
  <si>
    <t>EcoFoot18_o_CounArea</t>
  </si>
  <si>
    <t>ln_ElecCons11_per_km2</t>
  </si>
  <si>
    <t>ElecCons11_per_km2</t>
  </si>
  <si>
    <t>Congo (Democratic Republic)</t>
  </si>
  <si>
    <t>United States</t>
  </si>
  <si>
    <t>POP</t>
  </si>
  <si>
    <t>LNPOP</t>
  </si>
  <si>
    <t>AREA</t>
  </si>
  <si>
    <t>LNAREA</t>
  </si>
  <si>
    <t>POPDENS</t>
  </si>
  <si>
    <t>LNPOPDENS</t>
  </si>
  <si>
    <t>GDP</t>
  </si>
  <si>
    <t>LNGDP</t>
  </si>
  <si>
    <t>GDPPC</t>
  </si>
  <si>
    <t>LNGDPPC</t>
  </si>
  <si>
    <t>GINI</t>
  </si>
  <si>
    <t>HDI</t>
  </si>
  <si>
    <t>GNIPC</t>
  </si>
  <si>
    <t>LNGNIPC</t>
  </si>
  <si>
    <t>INEQHDI</t>
  </si>
  <si>
    <t>PALMA</t>
  </si>
  <si>
    <t>CITYPALMA</t>
  </si>
  <si>
    <t>ELECON</t>
  </si>
  <si>
    <t>LNELECON</t>
  </si>
  <si>
    <t>ELECONPC</t>
  </si>
  <si>
    <t>LNELECONPC</t>
  </si>
  <si>
    <t>TRANCON</t>
  </si>
  <si>
    <t>LNTRANCON</t>
  </si>
  <si>
    <t>LNTRANCONPC</t>
  </si>
  <si>
    <t>TRANCONSPC</t>
  </si>
  <si>
    <t>ENERCON</t>
  </si>
  <si>
    <t>LNENERCON</t>
  </si>
  <si>
    <t>LNCOUNECOFOOTPC</t>
  </si>
  <si>
    <t>COUNECOFOOTPC</t>
  </si>
  <si>
    <t>ECOFOOT</t>
  </si>
  <si>
    <t>LNECOFOOT</t>
  </si>
  <si>
    <t>ECOFOOThect</t>
  </si>
  <si>
    <t>UHI</t>
  </si>
  <si>
    <t>ENERCONPC</t>
  </si>
  <si>
    <t>LNENERCONPC</t>
  </si>
  <si>
    <t>LNPALMA</t>
  </si>
  <si>
    <t>LNECOFOOThect</t>
  </si>
  <si>
    <t>LAT</t>
  </si>
  <si>
    <t>LONG</t>
  </si>
  <si>
    <t>CITY</t>
  </si>
  <si>
    <t>COUNTRY</t>
  </si>
  <si>
    <t>REGION</t>
  </si>
  <si>
    <t>ECOFOOTPERAREA</t>
  </si>
  <si>
    <t>WINTEMP</t>
  </si>
  <si>
    <t>LNECOFOOTPERAREA</t>
  </si>
  <si>
    <t>AVETEMP</t>
  </si>
  <si>
    <t>AVETEMPHI</t>
  </si>
  <si>
    <t>AVETEMPLO</t>
  </si>
  <si>
    <t>AVEPREC</t>
  </si>
  <si>
    <t>ELEV</t>
  </si>
  <si>
    <t>Bengaluru</t>
  </si>
  <si>
    <t>LNELEV</t>
  </si>
  <si>
    <t>CITYPOP</t>
  </si>
  <si>
    <t>METROPOP</t>
  </si>
  <si>
    <t>CITYMETRO</t>
  </si>
  <si>
    <t>METROCITY</t>
  </si>
  <si>
    <t>LNMETROPOP</t>
  </si>
  <si>
    <t>LNMETROCITY</t>
  </si>
  <si>
    <t>METROPOPTHOU</t>
  </si>
  <si>
    <t>CARBFOOTPC</t>
  </si>
  <si>
    <t>LNCARBFOOTPC</t>
  </si>
  <si>
    <t>CITYPOPTHOU</t>
  </si>
  <si>
    <t>LNCITYPOP</t>
  </si>
  <si>
    <t>MEDAGE</t>
  </si>
  <si>
    <t>Moscow</t>
  </si>
  <si>
    <t>EDUCIND</t>
  </si>
  <si>
    <t>ELECPRICE</t>
  </si>
  <si>
    <t>LOWINCOUN</t>
  </si>
  <si>
    <t>United Kingdom</t>
  </si>
  <si>
    <t>AREAhect</t>
  </si>
  <si>
    <t>AREAkm2</t>
  </si>
  <si>
    <t>HDImINEQHDI</t>
  </si>
  <si>
    <t>LNELECPRIC</t>
  </si>
  <si>
    <t>ASIA</t>
  </si>
  <si>
    <t>AFRICA</t>
  </si>
  <si>
    <t>EUROPE</t>
  </si>
  <si>
    <t>NORTHAMER</t>
  </si>
  <si>
    <t>SOUTHAMER</t>
  </si>
  <si>
    <t>ExistBuild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</si>
</sst>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.000"/>
    <numFmt numFmtId="166" formatCode="#,##0.0"/>
    <numFmt numFmtId="167" formatCode="0.000"/>
    <numFmt numFmtId="168" formatCode="0.0"/>
  </numFmts>
  <fonts count="8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Arial"/>
      <family val="2"/>
      <charset val="161"/>
    </font>
    <font>
      <sz val="11"/>
      <color rgb="FFFF0000"/>
      <name val="Arial"/>
      <family val="2"/>
      <charset val="161"/>
    </font>
    <font>
      <sz val="11"/>
      <color rgb="FF0000FF"/>
      <name val="Arial"/>
      <family val="2"/>
      <charset val="161"/>
    </font>
    <font>
      <b/>
      <sz val="11"/>
      <name val="Arial Black"/>
      <family val="2"/>
      <charset val="161"/>
    </font>
    <font>
      <b/>
      <sz val="11"/>
      <color rgb="FFFF0000"/>
      <name val="Arial Black"/>
      <family val="2"/>
      <charset val="161"/>
    </font>
    <font>
      <b/>
      <sz val="11"/>
      <color rgb="FF0000FF"/>
      <name val="Arial Black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rgb="FFFF000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1">
    <xf numFmtId="0" fontId="0" fillId="0" borderId="0" xfId="0" applyFont="1" applyAlignment="1"/>
    <xf numFmtId="0" fontId="2" fillId="3" borderId="1" xfId="0" applyFont="1" applyFill="1" applyBorder="1" applyAlignment="1">
      <alignment horizontal="left" vertical="center"/>
    </xf>
    <xf numFmtId="167" fontId="2" fillId="4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8" fontId="2" fillId="2" borderId="1" xfId="0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168" fontId="2" fillId="6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3" fillId="4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3" borderId="1" xfId="0" quotePrefix="1" applyNumberFormat="1" applyFont="1" applyFill="1" applyBorder="1" applyAlignment="1">
      <alignment horizontal="center" vertical="center"/>
    </xf>
    <xf numFmtId="49" fontId="5" fillId="4" borderId="1" xfId="0" quotePrefix="1" applyNumberFormat="1" applyFont="1" applyFill="1" applyBorder="1" applyAlignment="1">
      <alignment horizontal="center" vertical="center"/>
    </xf>
    <xf numFmtId="49" fontId="5" fillId="5" borderId="1" xfId="0" quotePrefix="1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7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1" xfId="0" quotePrefix="1" applyNumberFormat="1" applyFont="1" applyFill="1" applyBorder="1" applyAlignment="1">
      <alignment horizontal="center" vertical="center"/>
    </xf>
    <xf numFmtId="49" fontId="6" fillId="6" borderId="1" xfId="0" quotePrefix="1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167" fontId="3" fillId="6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168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8" fontId="2" fillId="7" borderId="1" xfId="1" applyNumberFormat="1" applyFont="1" applyFill="1" applyBorder="1" applyAlignment="1">
      <alignment horizontal="center" vertical="center"/>
    </xf>
    <xf numFmtId="49" fontId="6" fillId="5" borderId="1" xfId="0" quotePrefix="1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4" borderId="1" xfId="0" quotePrefix="1" applyNumberFormat="1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166" fontId="2" fillId="6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center" vertical="center"/>
    </xf>
    <xf numFmtId="167" fontId="2" fillId="4" borderId="2" xfId="0" applyNumberFormat="1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166" fontId="2" fillId="4" borderId="2" xfId="0" applyNumberFormat="1" applyFont="1" applyFill="1" applyBorder="1" applyAlignment="1">
      <alignment horizontal="center" vertical="center"/>
    </xf>
    <xf numFmtId="166" fontId="2" fillId="5" borderId="2" xfId="0" applyNumberFormat="1" applyFont="1" applyFill="1" applyBorder="1" applyAlignment="1">
      <alignment horizontal="center" vertical="center"/>
    </xf>
    <xf numFmtId="165" fontId="2" fillId="6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166" fontId="2" fillId="6" borderId="2" xfId="0" applyNumberFormat="1" applyFont="1" applyFill="1" applyBorder="1" applyAlignment="1">
      <alignment horizontal="center" vertical="center"/>
    </xf>
    <xf numFmtId="167" fontId="2" fillId="6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168" fontId="2" fillId="6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>
      <alignment horizontal="center" vertical="center"/>
    </xf>
    <xf numFmtId="167" fontId="2" fillId="0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168" fontId="2" fillId="7" borderId="2" xfId="0" applyNumberFormat="1" applyFont="1" applyFill="1" applyBorder="1" applyAlignment="1">
      <alignment horizontal="center" vertical="center"/>
    </xf>
    <xf numFmtId="168" fontId="2" fillId="4" borderId="2" xfId="0" applyNumberFormat="1" applyFont="1" applyFill="1" applyBorder="1" applyAlignment="1">
      <alignment horizontal="center" vertical="center"/>
    </xf>
    <xf numFmtId="168" fontId="2" fillId="7" borderId="2" xfId="1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8" fontId="5" fillId="0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168" fontId="2" fillId="0" borderId="2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65" fontId="5" fillId="5" borderId="1" xfId="0" quotePrefix="1" applyNumberFormat="1" applyFont="1" applyFill="1" applyBorder="1" applyAlignment="1">
      <alignment horizontal="center" vertical="center"/>
    </xf>
    <xf numFmtId="167" fontId="6" fillId="4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 wrapText="1"/>
    </xf>
    <xf numFmtId="167" fontId="5" fillId="0" borderId="1" xfId="0" quotePrefix="1" applyNumberFormat="1" applyFont="1" applyFill="1" applyBorder="1" applyAlignment="1">
      <alignment horizontal="center" vertical="center"/>
    </xf>
    <xf numFmtId="167" fontId="2" fillId="0" borderId="3" xfId="0" applyNumberFormat="1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7" fontId="2" fillId="5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5" fillId="4" borderId="1" xfId="0" quotePrefix="1" applyNumberFormat="1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4" fontId="3" fillId="8" borderId="1" xfId="0" applyNumberFormat="1" applyFont="1" applyFill="1" applyBorder="1" applyAlignment="1">
      <alignment horizontal="center" vertical="center"/>
    </xf>
    <xf numFmtId="49" fontId="5" fillId="3" borderId="1" xfId="0" quotePrefix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CCFFCC"/>
      <color rgb="FFCCECFF"/>
      <color rgb="FFCCFFFF"/>
      <color rgb="FFFFFFCC"/>
      <color rgb="FFFFCCFF"/>
      <color rgb="FF008000"/>
      <color rgb="FF006600"/>
      <color rgb="FFFFBFFA"/>
      <color rgb="FF8E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hn" id="{BB0C87BD-8E87-4DCF-884F-1EDCEBEC5B9F}" userId="24095a8e0ed32614" providerId="Windows Liv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0-10-14T19:52:01.83" personId="{BB0C87BD-8E87-4DCF-884F-1EDCEBEC5B9F}" id="{4F64FBF0-D55E-40D2-8D04-0EC53B1A9896}">
    <text>Megacity name</text>
  </threadedComment>
  <threadedComment ref="C1" dT="2020-10-14T19:52:14.77" personId="{BB0C87BD-8E87-4DCF-884F-1EDCEBEC5B9F}" id="{27F568C3-1885-430B-B1BE-35AE0F5414FB}">
    <text>Megacity country</text>
  </threadedComment>
  <threadedComment ref="D1" dT="2020-10-14T19:52:35.84" personId="{BB0C87BD-8E87-4DCF-884F-1EDCEBEC5B9F}" id="{C33C803F-CC03-44DF-B77D-6939F93E446C}">
    <text>Megacity region (continent)</text>
  </threadedComment>
  <threadedComment ref="J1" dT="2020-10-14T19:54:22.95" personId="{BB0C87BD-8E87-4DCF-884F-1EDCEBEC5B9F}" id="{097C10B9-F5EF-4314-A1A4-828878A480C5}">
    <text>https://www.skyscrapercenter.com/cities</text>
  </threadedComment>
  <threadedComment ref="K1" dT="2020-10-14T19:54:46.94" personId="{BB0C87BD-8E87-4DCF-884F-1EDCEBEC5B9F}" id="{890EA716-4534-4A15-985D-AF8523AF7C7A}">
    <text>https://www.emporis.com/</text>
  </threadedComment>
  <threadedComment ref="L1" dT="2020-10-14T19:55:01.48" personId="{BB0C87BD-8E87-4DCF-884F-1EDCEBEC5B9F}" id="{375CDC75-7567-46AC-BC13-D1CACDD84E61}">
    <text>Megacity latitude (degrees)</text>
  </threadedComment>
  <threadedComment ref="M1" dT="2020-10-14T19:56:30.70" personId="{BB0C87BD-8E87-4DCF-884F-1EDCEBEC5B9F}" id="{A257BDE1-4AAD-446D-9B08-2597EBFBA913}">
    <text>Absolute value of megacity latitude (degrees)</text>
  </threadedComment>
  <threadedComment ref="N1" dT="2020-10-14T19:56:48.48" personId="{BB0C87BD-8E87-4DCF-884F-1EDCEBEC5B9F}" id="{120C6990-875C-410F-AC41-B08AF5EB3024}">
    <text>Megacity longitude (degrees)</text>
  </threadedComment>
  <threadedComment ref="O1" dT="2020-10-14T19:57:19.25" personId="{BB0C87BD-8E87-4DCF-884F-1EDCEBEC5B9F}" id="{00B7615E-BF1C-443B-95C0-91B5F58C2D91}">
    <text>2011 megacity population (thousand)</text>
  </threadedComment>
  <threadedComment ref="P1" dT="2020-10-14T19:57:40.54" personId="{BB0C87BD-8E87-4DCF-884F-1EDCEBEC5B9F}" id="{B9C74DA0-B3E4-460B-8629-5E78A797DED1}">
    <text>2014 megacity population (thousand)</text>
  </threadedComment>
  <threadedComment ref="Q1" dT="2020-10-14T19:58:14.98" personId="{BB0C87BD-8E87-4DCF-884F-1EDCEBEC5B9F}" id="{19C15DCA-A67C-4B8A-B041-2CCE8F95B8B6}">
    <text>2016 megacity population (thousand)</text>
  </threadedComment>
  <threadedComment ref="R1" dT="2020-10-14T19:58:34.68" personId="{BB0C87BD-8E87-4DCF-884F-1EDCEBEC5B9F}" id="{5529A33B-7964-4117-99DC-AC15FE29E2F5}">
    <text>2018 megacity population (thousand)</text>
  </threadedComment>
  <threadedComment ref="T1" dT="2020-10-14T19:58:59.25" personId="{BB0C87BD-8E87-4DCF-884F-1EDCEBEC5B9F}" id="{9D10FDF6-C5D2-4468-800A-A5EE14D411CB}">
    <text>2018 country population (thousand)</text>
  </threadedComment>
  <threadedComment ref="U1" dT="2020-10-14T19:59:10.97" personId="{BB0C87BD-8E87-4DCF-884F-1EDCEBEC5B9F}" id="{E816CFCE-7356-4F8C-BCA4-229E43088436}">
    <text>2018 country population (million)</text>
  </threadedComment>
  <threadedComment ref="W1" dT="2020-10-14T21:07:33.36" personId="{BB0C87BD-8E87-4DCF-884F-1EDCEBEC5B9F}" id="{9A55033D-EABC-4C7B-811C-295DBBAE13D9}">
    <text>2018 megacity to country population (%)</text>
  </threadedComment>
  <threadedComment ref="X1" dT="2020-10-14T21:07:47.10" personId="{BB0C87BD-8E87-4DCF-884F-1EDCEBEC5B9F}" id="{2380AC6B-A6FE-4586-9853-F087A9F8E325}">
    <text>2015-2005 megacity population growth (%)</text>
  </threadedComment>
  <threadedComment ref="Y1" dT="2020-10-14T21:08:04.88" personId="{BB0C87BD-8E87-4DCF-884F-1EDCEBEC5B9F}" id="{9B2AA15C-F0A4-4DC8-B1B9-5CB8EB29D28D}">
    <text>2015-2005 country population growth (%)</text>
  </threadedComment>
  <threadedComment ref="AA1" dT="2020-10-20T16:15:59.91" personId="{BB0C87BD-8E87-4DCF-884F-1EDCEBEC5B9F}" id="{E83D292E-43A7-454D-AEFF-9ED8168C79BC}">
    <text>http://atlasofurbanexpansion.org/</text>
  </threadedComment>
  <threadedComment ref="AB1" dT="2020-10-20T16:23:24.86" personId="{BB0C87BD-8E87-4DCF-884F-1EDCEBEC5B9F}" id="{80A0728C-17C9-4999-970E-A05EC2E3FAEC}">
    <text>Megacity area (km²)</text>
  </threadedComment>
  <threadedComment ref="AC1" dT="2020-10-14T21:08:20.32" personId="{BB0C87BD-8E87-4DCF-884F-1EDCEBEC5B9F}" id="{ED0BB2D8-60CE-4725-828B-F2677B49456C}">
    <text>Megacity area (km²)</text>
  </threadedComment>
  <threadedComment ref="AE1" dT="2020-10-14T21:08:32.00" personId="{BB0C87BD-8E87-4DCF-884F-1EDCEBEC5B9F}" id="{DC414F06-A34C-4A09-8895-4074A42518DC}">
    <text>2018 megacity population density (thousand/km²)</text>
  </threadedComment>
  <threadedComment ref="AG1" dT="2020-10-14T21:08:47.61" personId="{BB0C87BD-8E87-4DCF-884F-1EDCEBEC5B9F}" id="{A28BD9A5-EE35-4D11-B9FB-9852E01DD7BD}">
    <text>Country area (km²)</text>
  </threadedComment>
  <threadedComment ref="AH1" dT="2020-10-14T21:08:58.44" personId="{BB0C87BD-8E87-4DCF-884F-1EDCEBEC5B9F}" id="{BEDD43E3-0085-4419-8384-E929DB8C360F}">
    <text>Country area (thousand km²)</text>
  </threadedComment>
  <threadedComment ref="AI1" dT="2020-10-14T21:09:15.03" personId="{BB0C87BD-8E87-4DCF-884F-1EDCEBEC5B9F}" id="{0787A733-4FDC-4589-BF67-4514D5696E3B}">
    <text>Megacity to country area (%)</text>
  </threadedComment>
  <threadedComment ref="AJ1" dT="2020-10-14T21:09:28.62" personId="{BB0C87BD-8E87-4DCF-884F-1EDCEBEC5B9F}" id="{34486DC7-2804-4E58-960F-2A6F2C4A247B}">
    <text>2018 country population density (inhabitants/km²)</text>
  </threadedComment>
  <threadedComment ref="AL1" dT="2020-10-14T21:09:48.45" personId="{BB0C87BD-8E87-4DCF-884F-1EDCEBEC5B9F}" id="{5BD271D7-5700-4106-93A8-130D6DBF7923}">
    <text>2018 megacity to country population density</text>
  </threadedComment>
  <threadedComment ref="AM1" dT="2020-10-14T21:09:59.71" personId="{BB0C87BD-8E87-4DCF-884F-1EDCEBEC5B9F}" id="{9C0A1912-AFDC-4ADC-8171-D62E9336D2CE}">
    <text>2018 country GDP (trillion US$)</text>
  </threadedComment>
  <threadedComment ref="AN1" dT="2020-10-14T21:10:12.05" personId="{BB0C87BD-8E87-4DCF-884F-1EDCEBEC5B9F}" id="{881728D4-B3CA-43C9-82A8-0118F37485E5}">
    <text>Megacity GDP 2013~2019 (US$)</text>
  </threadedComment>
  <threadedComment ref="AO1" dT="2020-10-14T21:10:25.90" personId="{BB0C87BD-8E87-4DCF-884F-1EDCEBEC5B9F}" id="{597878E5-0C51-42D7-8134-1365352FBA6E}">
    <text>2013~2019 (billion US$)</text>
  </threadedComment>
  <threadedComment ref="AQ1" dT="2020-10-14T21:10:36.43" personId="{BB0C87BD-8E87-4DCF-884F-1EDCEBEC5B9F}" id="{7FD9790E-5586-455F-AB46-CBDE6230EBC1}">
    <text>Megacity GDP per capita (2016 population)</text>
  </threadedComment>
  <threadedComment ref="AS1" dT="2020-10-14T21:10:46.23" personId="{BB0C87BD-8E87-4DCF-884F-1EDCEBEC5B9F}" id="{00C1F05E-4F0A-406B-8FFB-70D5150D7E8E}">
    <text>%</text>
  </threadedComment>
  <threadedComment ref="AT1" dT="2020-10-14T21:12:24.60" personId="{BB0C87BD-8E87-4DCF-884F-1EDCEBEC5B9F}" id="{C99EE1C7-D63D-4B9D-B9BF-8A671E0C808A}">
    <text>2014 Brookings (and other sources) GDP in PPP (billion US$)</text>
  </threadedComment>
  <threadedComment ref="AV1" dT="2020-10-14T21:12:34.88" personId="{BB0C87BD-8E87-4DCF-884F-1EDCEBEC5B9F}" id="{5E6CE4D4-1431-4ED0-9BD1-3AFF8D65E14B}">
    <text>%</text>
  </threadedComment>
  <threadedComment ref="AW1" dT="2020-10-14T21:12:46.61" personId="{BB0C87BD-8E87-4DCF-884F-1EDCEBEC5B9F}" id="{CFF93A31-DA04-4215-BBFB-27544529DDBC}">
    <text>2014 megacity GDP in PPP (million US$)</text>
  </threadedComment>
  <threadedComment ref="AX1" dT="2020-10-14T21:13:04.55" personId="{BB0C87BD-8E87-4DCF-884F-1EDCEBEC5B9F}" id="{A1D254A7-A1BB-4787-840E-B75B593FDC54}">
    <text>2014 megacity Brookings GDP in PPP per capita (US$)</text>
  </threadedComment>
  <threadedComment ref="AY1" dT="2020-10-14T21:13:25.10" personId="{BB0C87BD-8E87-4DCF-884F-1EDCEBEC5B9F}" id="{3D9B4F9A-E0B8-44E0-8365-10C3B9107CD1}">
    <text>2014 megacity GDP in PPP per capita (US$)</text>
  </threadedComment>
  <threadedComment ref="AZ1" dT="2020-10-14T21:13:35.58" personId="{BB0C87BD-8E87-4DCF-884F-1EDCEBEC5B9F}" id="{DD0B5CC6-9DA4-4BF9-9CDF-B11B870CC8A5}">
    <text>2016 GPP in PPP (million US$)</text>
  </threadedComment>
  <threadedComment ref="BB1" dT="2020-10-14T21:13:49.05" personId="{BB0C87BD-8E87-4DCF-884F-1EDCEBEC5B9F}" id="{2F991C76-CE53-4EEB-B891-B779A68BC311}">
    <text>2016 GDP in PPP per capita (US$)</text>
  </threadedComment>
  <threadedComment ref="BD1" dT="2020-10-14T21:14:01.12" personId="{BB0C87BD-8E87-4DCF-884F-1EDCEBEC5B9F}" id="{2CECA490-F66D-4325-AF6B-7D2FB302FC18}">
    <text>2016-2014 GDP per capita (thousand US$)</text>
  </threadedComment>
  <threadedComment ref="BF1" dT="2020-10-14T21:14:17.32" personId="{BB0C87BD-8E87-4DCF-884F-1EDCEBEC5B9F}" id="{FFF2C506-8946-46EA-A1FD-8A16DA99A2F4}">
    <text>2016-2014 GDP per capita (%)</text>
  </threadedComment>
  <threadedComment ref="BH1" dT="2020-10-14T21:15:19.28" personId="{BB0C87BD-8E87-4DCF-884F-1EDCEBEC5B9F}" id="{D055C385-B87D-414C-B73A-67DF183413E9}">
    <text>2018 country GNI in PPP per capita (thousand US$)</text>
  </threadedComment>
  <threadedComment ref="BJ1" dT="2020-10-14T21:14:29.99" personId="{BB0C87BD-8E87-4DCF-884F-1EDCEBEC5B9F}" id="{168DE3A8-EC05-4BC9-AD03-AED94C667D99}">
    <text>2018 Gini income inequality index</text>
  </threadedComment>
  <threadedComment ref="BK1" dT="2020-10-14T21:14:53.30" personId="{BB0C87BD-8E87-4DCF-884F-1EDCEBEC5B9F}" id="{580E1282-88A4-431F-910F-B3AC52492FEE}">
    <text>2018 Human Development Index (HDI)</text>
  </threadedComment>
  <threadedComment ref="BL1" dT="2020-10-14T21:15:04.92" personId="{BB0C87BD-8E87-4DCF-884F-1EDCEBEC5B9F}" id="{E298532C-FF4F-4774-9CE3-EDEBF6E61B05}">
    <text>2018 life expectancy (years)</text>
  </threadedComment>
  <threadedComment ref="BM1" dT="2020-10-14T21:15:41.17" personId="{BB0C87BD-8E87-4DCF-884F-1EDCEBEC5B9F}" id="{F21637D8-9387-4215-9A61-DFBDDC213582}">
    <text>2018 GNI per capita minus HDI (ranks)</text>
  </threadedComment>
  <threadedComment ref="BN1" dT="2020-10-14T21:15:52.66" personId="{BB0C87BD-8E87-4DCF-884F-1EDCEBEC5B9F}" id="{23C27F02-0CF3-4044-9BFC-F552E051AB4C}">
    <text>inequality adjusted HDI (http://hdr.undp.org/en/countries)</text>
  </threadedComment>
  <threadedComment ref="BP1" dT="2020-10-14T21:16:16.62" personId="{BB0C87BD-8E87-4DCF-884F-1EDCEBEC5B9F}" id="{3BCDB180-DE44-4930-B077-585EFE3A47EA}">
    <text>Palma ratio 2010-2017 (http://hdr.undp.org/en/countries)</text>
  </threadedComment>
  <threadedComment ref="BR1" dT="2020-10-14T21:16:27.59" personId="{BB0C87BD-8E87-4DCF-884F-1EDCEBEC5B9F}" id="{83737D96-74D0-4B70-A3FB-84A09B294676}">
    <text>https://blog.euromonitor.com/income-inequality-ranking-worlds-major-cities/</text>
  </threadedComment>
  <threadedComment ref="BS1" dT="2020-10-14T21:16:43.23" personId="{BB0C87BD-8E87-4DCF-884F-1EDCEBEC5B9F}" id="{5D48AACD-376B-4C2B-910F-AAD270A7DBA4}">
    <text>2018 country energy consumption per capita (kWh)</text>
  </threadedComment>
  <threadedComment ref="BT1" dT="2020-10-14T21:16:53.93" personId="{BB0C87BD-8E87-4DCF-884F-1EDCEBEC5B9F}" id="{46A784BC-84B2-41A6-880A-423DBBEDC0F3}">
    <text>2018 country primary energy consumption per capita (GJ)</text>
  </threadedComment>
  <threadedComment ref="BU1" dT="2020-10-14T21:17:04.27" personId="{BB0C87BD-8E87-4DCF-884F-1EDCEBEC5B9F}" id="{D53616B7-DA98-48AC-A04C-6387B3CD0386}">
    <text>2011 city electricity consumption (GWh)</text>
  </threadedComment>
  <threadedComment ref="BW1" dT="2020-10-14T21:17:18.60" personId="{BB0C87BD-8E87-4DCF-884F-1EDCEBEC5B9F}" id="{1DA69A56-74C7-4B7E-A865-58688442798D}">
    <text>2011 city electricity consumption per capita (kWh)</text>
  </threadedComment>
  <threadedComment ref="CC1" dT="2020-10-14T21:17:38.38" personId="{BB0C87BD-8E87-4DCF-884F-1EDCEBEC5B9F}" id="{9F8BDB6C-C208-4BA2-A9A3-4EC641387BC3}">
    <text>2011 city transportation energy consumption (TJ)</text>
  </threadedComment>
  <threadedComment ref="CD1" dT="2020-10-14T21:17:48.28" personId="{BB0C87BD-8E87-4DCF-884F-1EDCEBEC5B9F}" id="{C78418C5-796F-448E-8FBD-94109A8E3DCC}">
    <text>2011 city transportation energy consumption (GWh)</text>
  </threadedComment>
  <threadedComment ref="CG1" dT="2020-10-14T21:18:03.14" personId="{BB0C87BD-8E87-4DCF-884F-1EDCEBEC5B9F}" id="{FD00AA03-17C3-4F8E-AD81-20529FA3434B}">
    <text>2011 city transportation energy consumption per capita (kWh)</text>
  </threadedComment>
  <threadedComment ref="CI1" dT="2020-10-14T21:18:18.05" personId="{BB0C87BD-8E87-4DCF-884F-1EDCEBEC5B9F}" id="{CF1B07A4-1EBF-414C-8D5B-FB72E387D565}">
    <text>2011 megacity energy consumption (TJ)</text>
  </threadedComment>
  <threadedComment ref="CJ1" dT="2020-10-14T21:18:29.13" personId="{BB0C87BD-8E87-4DCF-884F-1EDCEBEC5B9F}" id="{397EA600-D55F-48D6-A051-FAD42156BA5A}">
    <text>2011 megacity energy consumption (GWh)</text>
  </threadedComment>
  <threadedComment ref="CL1" dT="2020-10-14T21:18:43.33" personId="{BB0C87BD-8E87-4DCF-884F-1EDCEBEC5B9F}" id="{BA9B3CAD-0F93-4DFE-BFCF-16C72DF7D74B}">
    <text>2011 megacity energy consumption per capita (kWh)</text>
  </threadedComment>
  <threadedComment ref="CO1" dT="2020-10-14T21:18:57.97" personId="{BB0C87BD-8E87-4DCF-884F-1EDCEBEC5B9F}" id="{3A9E99CF-4511-4FE5-B5BC-3B9C1217F66E}">
    <text>Carboon footprint per capita (tons) (http://citycarbonfootprints.info/)</text>
  </threadedComment>
  <threadedComment ref="CP1" dT="2020-10-14T21:19:07.95" personId="{BB0C87BD-8E87-4DCF-884F-1EDCEBEC5B9F}" id="{15F4D529-0035-4453-8B26-34DFC3305609}">
    <text>http://citycarbonfootprints.info/</text>
  </threadedComment>
  <threadedComment ref="CQ1" dT="2020-10-14T21:19:23.72" personId="{BB0C87BD-8E87-4DCF-884F-1EDCEBEC5B9F}" id="{F6F227C0-03B0-4A05-B738-98ECA81710BD}">
    <text>http://citycarbonfootprints.info/</text>
  </threadedComment>
  <threadedComment ref="CR1" dT="2020-10-14T21:19:34.33" personId="{BB0C87BD-8E87-4DCF-884F-1EDCEBEC5B9F}" id="{A44BD0C7-9F71-4EC5-A2FE-9AC2EBB701CA}">
    <text>logarithm of carboon footprint per capita (tons) (http://citycarbonfootprints.info/)</text>
  </threadedComment>
  <threadedComment ref="CS1" dT="2020-10-14T21:19:49.79" personId="{BB0C87BD-8E87-4DCF-884F-1EDCEBEC5B9F}" id="{AA3E8E44-98EB-4881-BBBF-2EEDD00DD5D6}">
    <text>2016 country Ecological Footprint per capita (hectares)</text>
  </threadedComment>
  <threadedComment ref="CU1" dT="2020-10-14T21:20:07.13" personId="{BB0C87BD-8E87-4DCF-884F-1EDCEBEC5B9F}" id="{B8ABE9E6-B5C9-4A54-B076-4205A22FA8FB}">
    <text>2018 megacity Ecological Footprint (thousand hectares)</text>
  </threadedComment>
  <threadedComment ref="CW1" dT="2020-10-14T21:20:23.81" personId="{BB0C87BD-8E87-4DCF-884F-1EDCEBEC5B9F}" id="{D701B636-02FB-473D-8801-341C6727C901}">
    <text>2018 megacity Ecological Footprint (thousand km²)</text>
  </threadedComment>
  <threadedComment ref="CY1" dT="2020-10-14T21:20:44.01" personId="{BB0C87BD-8E87-4DCF-884F-1EDCEBEC5B9F}" id="{CD402264-D4A2-4490-8203-A118C3E39FBD}">
    <text>2018 megacity Ecological Footprint over country area</text>
  </threadedComment>
  <threadedComment ref="CZ1" dT="2020-10-14T21:20:58.31" personId="{BB0C87BD-8E87-4DCF-884F-1EDCEBEC5B9F}" id="{79BDC564-E1CB-4E19-B427-C4AA7F3C9810}">
    <text>2018 megacity Ecological Footprint over city area</text>
  </threadedComment>
  <threadedComment ref="DB1" dT="2020-10-14T21:21:12.22" personId="{BB0C87BD-8E87-4DCF-884F-1EDCEBEC5B9F}" id="{BA538FDF-5FD4-4593-AB2D-0AA06BB7B108}">
    <text>2017 annual daytime UHI (°C)</text>
  </threadedComment>
  <threadedComment ref="DC1" dT="2020-10-14T21:21:23.06" personId="{BB0C87BD-8E87-4DCF-884F-1EDCEBEC5B9F}" id="{94BDD897-5851-40BB-B5E9-5952051B47C8}">
    <text>2017 annual nighttime UHI (°C)</text>
  </threadedComment>
  <threadedComment ref="DD1" dT="2020-10-14T21:21:33.71" personId="{BB0C87BD-8E87-4DCF-884F-1EDCEBEC5B9F}" id="{1856BAD4-949A-4870-84F7-702D8043CBD2}">
    <text>2017 summer daytime UHI (°C)</text>
  </threadedComment>
  <threadedComment ref="DE1" dT="2020-10-14T21:21:47.20" personId="{BB0C87BD-8E87-4DCF-884F-1EDCEBEC5B9F}" id="{790B916E-EC98-44A5-90A5-7FB714BC80D4}">
    <text>2017 summer nighttime UHI (°C)</text>
  </threadedComment>
  <threadedComment ref="DF1" dT="2020-10-14T21:21:57.05" personId="{BB0C87BD-8E87-4DCF-884F-1EDCEBEC5B9F}" id="{6BBD4BFA-9DC5-4702-8F71-9C3E331044C1}">
    <text>2017 winter daytime UHI (°C)</text>
  </threadedComment>
  <threadedComment ref="DG1" dT="2020-10-14T21:22:07.68" personId="{BB0C87BD-8E87-4DCF-884F-1EDCEBEC5B9F}" id="{D2AA5D61-1806-4877-B10E-A97CC153FD87}">
    <text>2017 winter nighttime UHI (°C)</text>
  </threadedComment>
  <threadedComment ref="DH1" dT="2020-10-14T21:23:01.75" personId="{BB0C87BD-8E87-4DCF-884F-1EDCEBEC5B9F}" id="{8EE1DB2A-8483-4145-ABE8-3C31FE6F8670}">
    <text>2018 winter temperature (°C)</text>
  </threadedComment>
  <threadedComment ref="DI1" dT="2020-10-14T21:32:56.09" personId="{BB0C87BD-8E87-4DCF-884F-1EDCEBEC5B9F}" id="{57A0FE67-1D87-42F2-9AFA-5C2F0EB4D464}">
    <text>Heating Degree Days 2018</text>
  </threadedComment>
  <threadedComment ref="DJ1" dT="2020-10-14T21:23:11.30" personId="{BB0C87BD-8E87-4DCF-884F-1EDCEBEC5B9F}" id="{27547661-3030-40BD-AA42-F275AEA06DAB}">
    <text>2018 summer temperature (°C)</text>
  </threadedComment>
  <threadedComment ref="DK1" dT="2020-10-14T21:33:14.70" personId="{BB0C87BD-8E87-4DCF-884F-1EDCEBEC5B9F}" id="{FD9F83B3-4AA6-4628-B534-92E41649B05E}">
    <text>Cooling Degree Days 2018</text>
  </threadedComment>
  <threadedComment ref="DL1" dT="2020-10-14T21:33:31.81" personId="{BB0C87BD-8E87-4DCF-884F-1EDCEBEC5B9F}" id="{4A1F356F-E158-44BF-A0D1-39E4A2F33F1A}">
    <text>Heating + Cooling Degree Days 2018</text>
  </threadedComment>
  <threadedComment ref="DR1" dT="2020-10-14T21:23:37.52" personId="{BB0C87BD-8E87-4DCF-884F-1EDCEBEC5B9F}" id="{A1ACE370-78B0-4133-A44C-8DC9D9BC22F0}">
    <text>UHI average intensity in literature (°C)</text>
  </threadedComment>
  <threadedComment ref="DS1" dT="2020-10-15T15:56:05.76" personId="{BB0C87BD-8E87-4DCF-884F-1EDCEBEC5B9F}" id="{B26771FA-7CDD-4E6F-99FC-BCE45C7136A0}">
    <text>https://www.weatherbase.com/</text>
  </threadedComment>
  <threadedComment ref="DT1" dT="2020-10-15T15:56:27.84" personId="{BB0C87BD-8E87-4DCF-884F-1EDCEBEC5B9F}" id="{2507BC04-78DD-415A-ABFD-15E08EF2EB5D}">
    <text>https://www.weatherbase.com/</text>
  </threadedComment>
  <threadedComment ref="DU1" dT="2020-10-15T15:56:34.77" personId="{BB0C87BD-8E87-4DCF-884F-1EDCEBEC5B9F}" id="{15702127-6F58-48AD-B6AD-3EF4595DC16E}">
    <text>https://www.weatherbase.com/</text>
  </threadedComment>
  <threadedComment ref="DV1" dT="2020-10-15T15:56:19.05" personId="{BB0C87BD-8E87-4DCF-884F-1EDCEBEC5B9F}" id="{7A592A8A-335C-4862-BBE7-67C53DF324AA}">
    <text>(mm) https://www.weatherbase.com/</text>
  </threadedComment>
  <threadedComment ref="DW1" dT="2020-10-15T16:39:40.11" personId="{BB0C87BD-8E87-4DCF-884F-1EDCEBEC5B9F}" id="{B1ABA0D2-F491-4337-91C6-F49FD6F1165B}">
    <text>Elevation above sea level (m) https://en.climate-data.org/</text>
  </threadedComment>
  <threadedComment ref="DY1" dT="2020-10-15T18:35:37.93" personId="{BB0C87BD-8E87-4DCF-884F-1EDCEBEC5B9F}" id="{0CEF0B79-BB7D-44C8-812C-8803D58C8883}">
    <text>http://www.citymayors.com/statistics/largest-cities-alphabetical.html</text>
  </threadedComment>
  <threadedComment ref="EB1" dT="2020-10-15T18:35:45.64" personId="{BB0C87BD-8E87-4DCF-884F-1EDCEBEC5B9F}" id="{94E2B600-4F55-433F-8EA9-D1ECD31EF586}">
    <text>http://www.citymayors.com/statistics/largest-cities-alphabetical.html</text>
  </threadedComment>
  <threadedComment ref="EE1" dT="2020-10-15T18:35:53.14" personId="{BB0C87BD-8E87-4DCF-884F-1EDCEBEC5B9F}" id="{C09717C8-8944-4B63-9001-D71CBB44693B}">
    <text>http://www.citymayors.com/statistics/largest-cities-alphabetical.html</text>
  </threadedComment>
  <threadedComment ref="EH1" dT="2020-10-17T20:34:02.74" personId="{BB0C87BD-8E87-4DCF-884F-1EDCEBEC5B9F}" id="{4C3C56F6-DD40-4635-9BFC-A3B772324A55}">
    <text>Country median age (years) https://www.citypopulation.de/en/world/bymap/MedianAge.html</text>
  </threadedComment>
  <threadedComment ref="EI1" dT="2020-10-18T08:45:22.23" personId="{BB0C87BD-8E87-4DCF-884F-1EDCEBEC5B9F}" id="{AEB33F70-0E42-4C91-B14A-7B9BE75D3D93}">
    <text>UN Education Index per country (http://hdr.undp.org/en/content/education-index)</text>
  </threadedComment>
  <threadedComment ref="EJ1" dT="2020-10-19T18:07:57.92" personId="{BB0C87BD-8E87-4DCF-884F-1EDCEBEC5B9F}" id="{EFA9EBE1-BC63-414B-A6FE-F7CA7172205A}">
    <text>Electricity prices for households, March 2020 (US$/kWh), https://www.globalpetrolprices.com/electricity_prices/</text>
  </threadedComment>
  <threadedComment ref="EL1" dT="2020-10-20T10:58:06.42" personId="{BB0C87BD-8E87-4DCF-884F-1EDCEBEC5B9F}" id="{1BDF1F48-7E90-487D-BE33-79CA1FA41AAD}">
    <text>https://g2lm-lic.iza.org/call-phase-iv/list-of-lic/</text>
  </threadedComment>
  <threadedComment ref="DV3" dT="2020-10-15T16:27:57.32" personId="{BB0C87BD-8E87-4DCF-884F-1EDCEBEC5B9F}" id="{9CB23B3D-D101-4027-8AA7-4C61B1D1B46C}">
    <text>https://en.climate-data.org/africa/congo-kinshasa/kinshasa/kinshasa-408/#:~:text=Kinshasa%20Climate%20(Congo%2DKinshasa)&amp;text=The%20temperature%20here%20averages%2025.5,is%201368%20mm%20%7C%2053.9%20inch.</text>
  </threadedComment>
  <threadedComment ref="DV13" dT="2020-10-15T16:30:57.71" personId="{BB0C87BD-8E87-4DCF-884F-1EDCEBEC5B9F}" id="{934580B6-EC39-4ED0-A966-903E2CEDD185}">
    <text>https://en.climate-data.org/asia/indonesia/jakarta-special-capital-region/jakarta-714756/#:~:text=Jakarta%20Climate%20(Indonesia)&amp;text=The%20climate%20here%20is%20classified,mm%20%7C%2073.0%20inch%20per%20year.</text>
  </threadedComment>
  <threadedComment ref="EB16" dT="2020-10-15T18:46:35.42" personId="{BB0C87BD-8E87-4DCF-884F-1EDCEBEC5B9F}" id="{4BDBA304-8E37-4A34-81D5-4FF9AF85A306}">
    <text>https://www.macrotrends.net/cities/22046/lahore/population#:~:text=The%20metro%20area%20population%20of,a%204.21%25%20increase%20from%202016.</text>
  </threadedComment>
  <threadedComment ref="AA24" dT="2020-10-20T17:09:06.94" personId="{BB0C87BD-8E87-4DCF-884F-1EDCEBEC5B9F}" id="{52591F70-E82A-4798-BB61-714CE0DF3604}">
    <text>http://atlasofurbanexpansion.org/cities/view/Tehran#:~:text=The%20Urban%20Extent%20of%20Tehran,urban%20extent%20was%2047%2C103%20hectares.</text>
  </threadedComment>
  <threadedComment ref="DV34" dT="2020-10-15T16:23:57.69" personId="{BB0C87BD-8E87-4DCF-884F-1EDCEBEC5B9F}" id="{A25CBDC6-EB38-45BE-A71D-86896DC863FB}">
    <text>https://en.climate-data.org/south-america/peru/lima/lima-1014/#:~:text=The%20average%20temperature%20in%20Lima,mm%20%7C%200.6%20inch%20per%20year.</text>
  </threadedComment>
  <threadedComment ref="AA36" dT="2020-10-20T17:08:02.86" personId="{BB0C87BD-8E87-4DCF-884F-1EDCEBEC5B9F}" id="{05C8D898-95AF-41F7-8C0E-945BC0F03410}">
    <text>https://link.springer.com/chapter/10.1007/978-94-007-7088-1_29</text>
  </threadedComment>
  <threadedComment ref="AC36" dT="2020-10-20T17:15:32.23" personId="{BB0C87BD-8E87-4DCF-884F-1EDCEBEC5B9F}" id="{10DD1601-4D62-4CC5-ABDF-32CCDA020C46}">
    <text>4557 km² in https://wikitravel.org/en/Rio_de_Janeiro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L38"/>
  <sheetViews>
    <sheetView tabSelected="1" zoomScale="115" zoomScaleNormal="115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A10" sqref="A10"/>
    </sheetView>
  </sheetViews>
  <sheetFormatPr defaultColWidth="19.109375" defaultRowHeight="13.8" x14ac:dyDescent="0.3"/>
  <cols>
    <col min="1" max="1" width="6.5546875" style="16" bestFit="1" customWidth="1"/>
    <col min="2" max="2" width="14.21875" style="1" bestFit="1" customWidth="1"/>
    <col min="3" max="3" width="27.77734375" style="1" bestFit="1" customWidth="1"/>
    <col min="4" max="4" width="14.109375" style="149" bestFit="1" customWidth="1"/>
    <col min="5" max="5" width="9.33203125" style="16" bestFit="1" customWidth="1"/>
    <col min="6" max="6" width="6.44140625" style="16" bestFit="1" customWidth="1"/>
    <col min="7" max="7" width="10.44140625" style="16" bestFit="1" customWidth="1"/>
    <col min="8" max="8" width="15.88671875" style="16" bestFit="1" customWidth="1"/>
    <col min="9" max="9" width="15.77734375" style="16" bestFit="1" customWidth="1"/>
    <col min="10" max="10" width="11.33203125" style="17" bestFit="1" customWidth="1"/>
    <col min="11" max="11" width="12.33203125" style="17" bestFit="1" customWidth="1"/>
    <col min="12" max="12" width="7.88671875" style="2" bestFit="1" customWidth="1"/>
    <col min="13" max="13" width="15.77734375" style="2" bestFit="1" customWidth="1"/>
    <col min="14" max="14" width="9.109375" style="2" bestFit="1" customWidth="1"/>
    <col min="15" max="17" width="14" style="11" bestFit="1" customWidth="1"/>
    <col min="18" max="18" width="11.33203125" style="6" bestFit="1" customWidth="1"/>
    <col min="19" max="19" width="8.77734375" style="42" bestFit="1" customWidth="1"/>
    <col min="20" max="20" width="19.77734375" style="6" bestFit="1" customWidth="1"/>
    <col min="21" max="21" width="18.88671875" style="3" bestFit="1" customWidth="1"/>
    <col min="22" max="22" width="22" style="43" bestFit="1" customWidth="1"/>
    <col min="23" max="23" width="27" style="11" bestFit="1" customWidth="1"/>
    <col min="24" max="24" width="24.33203125" style="11" bestFit="1" customWidth="1"/>
    <col min="25" max="25" width="28.109375" style="11" bestFit="1" customWidth="1"/>
    <col min="26" max="26" width="28.21875" style="4" bestFit="1" customWidth="1"/>
    <col min="27" max="27" width="12.109375" style="17" bestFit="1" customWidth="1"/>
    <col min="28" max="28" width="11.88671875" style="126" bestFit="1" customWidth="1"/>
    <col min="29" max="29" width="10.109375" style="14" bestFit="1" customWidth="1"/>
    <col min="30" max="30" width="10.21875" style="27" bestFit="1" customWidth="1"/>
    <col min="31" max="31" width="11.88671875" style="11" bestFit="1" customWidth="1"/>
    <col min="32" max="32" width="15.109375" style="41" bestFit="1" customWidth="1"/>
    <col min="33" max="33" width="17.6640625" style="12" bestFit="1" customWidth="1"/>
    <col min="34" max="34" width="22.77734375" style="12" bestFit="1" customWidth="1"/>
    <col min="35" max="35" width="25.109375" style="12" bestFit="1" customWidth="1"/>
    <col min="36" max="36" width="25.21875" style="11" bestFit="1" customWidth="1"/>
    <col min="37" max="37" width="28.44140625" style="42" bestFit="1" customWidth="1"/>
    <col min="38" max="38" width="24.6640625" style="11" bestFit="1" customWidth="1"/>
    <col min="39" max="39" width="18.44140625" style="20" bestFit="1" customWidth="1"/>
    <col min="40" max="40" width="18.44140625" style="53" bestFit="1" customWidth="1"/>
    <col min="41" max="41" width="10.109375" style="20" bestFit="1" customWidth="1"/>
    <col min="42" max="42" width="8.88671875" style="49" bestFit="1" customWidth="1"/>
    <col min="43" max="43" width="10.109375" style="72" bestFit="1" customWidth="1"/>
    <col min="44" max="44" width="11.88671875" style="50" bestFit="1" customWidth="1"/>
    <col min="45" max="45" width="24.77734375" style="72" bestFit="1" customWidth="1"/>
    <col min="46" max="46" width="25.5546875" style="73" bestFit="1" customWidth="1"/>
    <col min="47" max="47" width="28.6640625" style="49" bestFit="1" customWidth="1"/>
    <col min="48" max="48" width="32.44140625" style="73" bestFit="1" customWidth="1"/>
    <col min="49" max="49" width="18.5546875" style="21" bestFit="1" customWidth="1"/>
    <col min="50" max="50" width="25.77734375" style="21" bestFit="1" customWidth="1"/>
    <col min="51" max="51" width="18.109375" style="21" bestFit="1" customWidth="1"/>
    <col min="52" max="52" width="18.5546875" style="21" bestFit="1" customWidth="1"/>
    <col min="53" max="53" width="21.6640625" style="51" bestFit="1" customWidth="1"/>
    <col min="54" max="54" width="18.109375" style="21" bestFit="1" customWidth="1"/>
    <col min="55" max="55" width="21.21875" style="51" bestFit="1" customWidth="1"/>
    <col min="56" max="56" width="21.44140625" style="22" bestFit="1" customWidth="1"/>
    <col min="57" max="57" width="22.6640625" style="22" bestFit="1" customWidth="1"/>
    <col min="58" max="58" width="22" style="54" bestFit="1" customWidth="1"/>
    <col min="59" max="59" width="20.33203125" style="52" bestFit="1" customWidth="1"/>
    <col min="60" max="60" width="8.33203125" style="21" bestFit="1" customWidth="1"/>
    <col min="61" max="61" width="11.44140625" style="49" bestFit="1" customWidth="1"/>
    <col min="62" max="63" width="6.109375" style="22" bestFit="1" customWidth="1"/>
    <col min="64" max="64" width="12.109375" style="23" bestFit="1" customWidth="1"/>
    <col min="65" max="65" width="30.6640625" style="24" bestFit="1" customWidth="1"/>
    <col min="66" max="66" width="10.88671875" style="77" bestFit="1" customWidth="1"/>
    <col min="67" max="67" width="17" style="77" bestFit="1" customWidth="1"/>
    <col min="68" max="68" width="8.88671875" style="113" bestFit="1" customWidth="1"/>
    <col min="69" max="69" width="12" style="26" bestFit="1" customWidth="1"/>
    <col min="70" max="70" width="14.33203125" style="113" bestFit="1" customWidth="1"/>
    <col min="71" max="71" width="30.109375" style="10" bestFit="1" customWidth="1"/>
    <col min="72" max="72" width="33.6640625" style="19" bestFit="1" customWidth="1"/>
    <col min="73" max="73" width="11.33203125" style="18" bestFit="1" customWidth="1"/>
    <col min="74" max="74" width="13.44140625" style="58" bestFit="1" customWidth="1"/>
    <col min="75" max="75" width="13.33203125" style="10" bestFit="1" customWidth="1"/>
    <col min="76" max="76" width="16.5546875" style="58" bestFit="1" customWidth="1"/>
    <col min="77" max="77" width="24.88671875" style="60" bestFit="1" customWidth="1"/>
    <col min="78" max="78" width="28" style="58" bestFit="1" customWidth="1"/>
    <col min="79" max="79" width="34.21875" style="60" bestFit="1" customWidth="1"/>
    <col min="80" max="80" width="37.44140625" style="58" bestFit="1" customWidth="1"/>
    <col min="81" max="81" width="19.109375" style="18" bestFit="1" customWidth="1"/>
    <col min="82" max="82" width="12.33203125" style="18" bestFit="1" customWidth="1"/>
    <col min="83" max="83" width="15.5546875" style="57" bestFit="1" customWidth="1"/>
    <col min="84" max="84" width="25.33203125" style="18" bestFit="1" customWidth="1"/>
    <col min="85" max="85" width="16.88671875" style="18" bestFit="1" customWidth="1"/>
    <col min="86" max="86" width="18.6640625" style="59" bestFit="1" customWidth="1"/>
    <col min="87" max="87" width="18.33203125" style="9" bestFit="1" customWidth="1"/>
    <col min="88" max="88" width="12.33203125" style="9" bestFit="1" customWidth="1"/>
    <col min="89" max="89" width="15.44140625" style="59" bestFit="1" customWidth="1"/>
    <col min="90" max="90" width="15.33203125" style="61" bestFit="1" customWidth="1"/>
    <col min="91" max="91" width="18.5546875" style="59" bestFit="1" customWidth="1"/>
    <col min="92" max="92" width="29.44140625" style="61" bestFit="1" customWidth="1"/>
    <col min="93" max="93" width="16.6640625" style="31" bestFit="1" customWidth="1"/>
    <col min="94" max="94" width="11.33203125" style="28" bestFit="1" customWidth="1"/>
    <col min="95" max="95" width="23.33203125" style="29" bestFit="1" customWidth="1"/>
    <col min="96" max="96" width="19.77734375" style="26" bestFit="1" customWidth="1"/>
    <col min="97" max="97" width="22" style="25" bestFit="1" customWidth="1"/>
    <col min="98" max="98" width="25.21875" style="27" bestFit="1" customWidth="1"/>
    <col min="99" max="99" width="17.109375" style="12" bestFit="1" customWidth="1"/>
    <col min="100" max="100" width="20.33203125" style="27" bestFit="1" customWidth="1"/>
    <col min="101" max="101" width="12.109375" style="12" bestFit="1" customWidth="1"/>
    <col min="102" max="102" width="15.33203125" style="27" bestFit="1" customWidth="1"/>
    <col min="103" max="103" width="27.44140625" style="12" bestFit="1" customWidth="1"/>
    <col min="104" max="104" width="22.88671875" style="12" bestFit="1" customWidth="1"/>
    <col min="105" max="105" width="26" style="27" bestFit="1" customWidth="1"/>
    <col min="106" max="106" width="21" style="66" bestFit="1" customWidth="1"/>
    <col min="107" max="107" width="22.88671875" style="66" bestFit="1" customWidth="1"/>
    <col min="108" max="108" width="25.88671875" style="66" bestFit="1" customWidth="1"/>
    <col min="109" max="109" width="27.88671875" style="66" bestFit="1" customWidth="1"/>
    <col min="110" max="110" width="25.109375" style="66" bestFit="1" customWidth="1"/>
    <col min="111" max="111" width="27.109375" style="66" bestFit="1" customWidth="1"/>
    <col min="112" max="112" width="11.88671875" style="66" bestFit="1" customWidth="1"/>
    <col min="113" max="113" width="8.6640625" style="12" bestFit="1" customWidth="1"/>
    <col min="114" max="114" width="23.6640625" style="65" bestFit="1" customWidth="1"/>
    <col min="115" max="115" width="8.44140625" style="12" bestFit="1" customWidth="1"/>
    <col min="116" max="116" width="6.88671875" style="12" bestFit="1" customWidth="1"/>
    <col min="117" max="121" width="14.33203125" style="12" bestFit="1" customWidth="1"/>
    <col min="122" max="122" width="6.109375" style="12" bestFit="1" customWidth="1"/>
    <col min="123" max="123" width="11.88671875" style="16" bestFit="1" customWidth="1"/>
    <col min="124" max="124" width="14.5546875" style="16" bestFit="1" customWidth="1"/>
    <col min="125" max="125" width="15.109375" style="16" bestFit="1" customWidth="1"/>
    <col min="126" max="126" width="11.5546875" style="17" bestFit="1" customWidth="1"/>
    <col min="127" max="127" width="6.88671875" style="17" bestFit="1" customWidth="1"/>
    <col min="128" max="128" width="10" style="26" bestFit="1" customWidth="1"/>
    <col min="129" max="129" width="11.33203125" style="17" bestFit="1" customWidth="1"/>
    <col min="130" max="130" width="17.77734375" style="17" bestFit="1" customWidth="1"/>
    <col min="131" max="131" width="14.21875" style="129" bestFit="1" customWidth="1"/>
    <col min="132" max="132" width="13.88671875" style="17" bestFit="1" customWidth="1"/>
    <col min="133" max="133" width="20.6640625" style="17" bestFit="1" customWidth="1"/>
    <col min="134" max="134" width="17" style="126" bestFit="1" customWidth="1"/>
    <col min="135" max="136" width="14.5546875" style="123" bestFit="1" customWidth="1"/>
    <col min="137" max="137" width="17.6640625" style="77" bestFit="1" customWidth="1"/>
    <col min="138" max="138" width="10.77734375" style="113" bestFit="1" customWidth="1"/>
    <col min="139" max="139" width="11.44140625" style="77" bestFit="1" customWidth="1"/>
    <col min="140" max="140" width="13.6640625" style="77" bestFit="1" customWidth="1"/>
    <col min="141" max="141" width="15.33203125" style="77" bestFit="1" customWidth="1"/>
    <col min="142" max="142" width="15.5546875" style="16" bestFit="1" customWidth="1"/>
    <col min="143" max="16384" width="19.109375" style="16"/>
  </cols>
  <sheetData>
    <row r="1" spans="1:142" s="32" customFormat="1" ht="17.399999999999999" x14ac:dyDescent="0.3">
      <c r="A1" s="32" t="s">
        <v>58</v>
      </c>
      <c r="B1" s="36" t="s">
        <v>166</v>
      </c>
      <c r="C1" s="36" t="s">
        <v>167</v>
      </c>
      <c r="D1" s="148" t="s">
        <v>168</v>
      </c>
      <c r="E1" s="33" t="s">
        <v>201</v>
      </c>
      <c r="F1" s="33" t="s">
        <v>200</v>
      </c>
      <c r="G1" s="33" t="s">
        <v>202</v>
      </c>
      <c r="H1" s="33" t="s">
        <v>203</v>
      </c>
      <c r="I1" s="33" t="s">
        <v>204</v>
      </c>
      <c r="J1" s="33" t="s">
        <v>57</v>
      </c>
      <c r="K1" s="33" t="s">
        <v>205</v>
      </c>
      <c r="L1" s="37" t="s">
        <v>164</v>
      </c>
      <c r="M1" s="37" t="s">
        <v>59</v>
      </c>
      <c r="N1" s="37" t="s">
        <v>165</v>
      </c>
      <c r="O1" s="38" t="s">
        <v>62</v>
      </c>
      <c r="P1" s="38" t="s">
        <v>63</v>
      </c>
      <c r="Q1" s="38" t="s">
        <v>64</v>
      </c>
      <c r="R1" s="117" t="s">
        <v>127</v>
      </c>
      <c r="S1" s="68" t="s">
        <v>128</v>
      </c>
      <c r="T1" s="39" t="s">
        <v>65</v>
      </c>
      <c r="U1" s="39" t="s">
        <v>66</v>
      </c>
      <c r="V1" s="69" t="s">
        <v>67</v>
      </c>
      <c r="W1" s="39" t="s">
        <v>79</v>
      </c>
      <c r="X1" s="39" t="s">
        <v>80</v>
      </c>
      <c r="Y1" s="39" t="s">
        <v>81</v>
      </c>
      <c r="Z1" s="40" t="s">
        <v>68</v>
      </c>
      <c r="AA1" s="120" t="s">
        <v>196</v>
      </c>
      <c r="AB1" s="125" t="s">
        <v>197</v>
      </c>
      <c r="AC1" s="141" t="s">
        <v>129</v>
      </c>
      <c r="AD1" s="70" t="s">
        <v>130</v>
      </c>
      <c r="AE1" s="39" t="s">
        <v>131</v>
      </c>
      <c r="AF1" s="69" t="s">
        <v>132</v>
      </c>
      <c r="AG1" s="44" t="s">
        <v>69</v>
      </c>
      <c r="AH1" s="44" t="s">
        <v>70</v>
      </c>
      <c r="AI1" s="44" t="s">
        <v>82</v>
      </c>
      <c r="AJ1" s="39" t="s">
        <v>71</v>
      </c>
      <c r="AK1" s="69" t="s">
        <v>72</v>
      </c>
      <c r="AL1" s="39" t="s">
        <v>73</v>
      </c>
      <c r="AM1" s="46" t="s">
        <v>74</v>
      </c>
      <c r="AN1" s="46" t="s">
        <v>118</v>
      </c>
      <c r="AO1" s="46" t="s">
        <v>133</v>
      </c>
      <c r="AP1" s="71" t="s">
        <v>134</v>
      </c>
      <c r="AQ1" s="46" t="s">
        <v>135</v>
      </c>
      <c r="AR1" s="71" t="s">
        <v>136</v>
      </c>
      <c r="AS1" s="46" t="s">
        <v>83</v>
      </c>
      <c r="AT1" s="46" t="s">
        <v>75</v>
      </c>
      <c r="AU1" s="71" t="s">
        <v>76</v>
      </c>
      <c r="AV1" s="46" t="s">
        <v>84</v>
      </c>
      <c r="AW1" s="47" t="s">
        <v>77</v>
      </c>
      <c r="AX1" s="47" t="s">
        <v>85</v>
      </c>
      <c r="AY1" s="47" t="s">
        <v>86</v>
      </c>
      <c r="AZ1" s="47" t="s">
        <v>78</v>
      </c>
      <c r="BA1" s="48" t="s">
        <v>119</v>
      </c>
      <c r="BB1" s="47" t="s">
        <v>87</v>
      </c>
      <c r="BC1" s="48" t="s">
        <v>88</v>
      </c>
      <c r="BD1" s="47" t="s">
        <v>89</v>
      </c>
      <c r="BE1" s="47" t="s">
        <v>90</v>
      </c>
      <c r="BF1" s="47" t="s">
        <v>120</v>
      </c>
      <c r="BG1" s="48" t="s">
        <v>91</v>
      </c>
      <c r="BH1" s="46" t="s">
        <v>139</v>
      </c>
      <c r="BI1" s="71" t="s">
        <v>140</v>
      </c>
      <c r="BJ1" s="46" t="s">
        <v>137</v>
      </c>
      <c r="BK1" s="46" t="s">
        <v>138</v>
      </c>
      <c r="BL1" s="46" t="s">
        <v>92</v>
      </c>
      <c r="BM1" s="46" t="s">
        <v>93</v>
      </c>
      <c r="BN1" s="76" t="s">
        <v>141</v>
      </c>
      <c r="BO1" s="76" t="s">
        <v>198</v>
      </c>
      <c r="BP1" s="112" t="s">
        <v>142</v>
      </c>
      <c r="BQ1" s="115" t="s">
        <v>162</v>
      </c>
      <c r="BR1" s="112" t="s">
        <v>143</v>
      </c>
      <c r="BS1" s="55" t="s">
        <v>94</v>
      </c>
      <c r="BT1" s="55" t="s">
        <v>95</v>
      </c>
      <c r="BU1" s="55" t="s">
        <v>144</v>
      </c>
      <c r="BV1" s="56" t="s">
        <v>145</v>
      </c>
      <c r="BW1" s="55" t="s">
        <v>146</v>
      </c>
      <c r="BX1" s="56" t="s">
        <v>147</v>
      </c>
      <c r="BY1" s="55" t="s">
        <v>124</v>
      </c>
      <c r="BZ1" s="56" t="s">
        <v>123</v>
      </c>
      <c r="CA1" s="55" t="s">
        <v>96</v>
      </c>
      <c r="CB1" s="56" t="s">
        <v>97</v>
      </c>
      <c r="CC1" s="55" t="s">
        <v>98</v>
      </c>
      <c r="CD1" s="55" t="s">
        <v>148</v>
      </c>
      <c r="CE1" s="56" t="s">
        <v>149</v>
      </c>
      <c r="CF1" s="55" t="s">
        <v>121</v>
      </c>
      <c r="CG1" s="55" t="s">
        <v>151</v>
      </c>
      <c r="CH1" s="56" t="s">
        <v>150</v>
      </c>
      <c r="CI1" s="55" t="s">
        <v>99</v>
      </c>
      <c r="CJ1" s="55" t="s">
        <v>152</v>
      </c>
      <c r="CK1" s="56" t="s">
        <v>153</v>
      </c>
      <c r="CL1" s="55" t="s">
        <v>160</v>
      </c>
      <c r="CM1" s="56" t="s">
        <v>161</v>
      </c>
      <c r="CN1" s="55" t="s">
        <v>100</v>
      </c>
      <c r="CO1" s="35" t="s">
        <v>186</v>
      </c>
      <c r="CP1" s="74" t="s">
        <v>101</v>
      </c>
      <c r="CQ1" s="75" t="s">
        <v>102</v>
      </c>
      <c r="CR1" s="34" t="s">
        <v>187</v>
      </c>
      <c r="CS1" s="62" t="s">
        <v>155</v>
      </c>
      <c r="CT1" s="45" t="s">
        <v>154</v>
      </c>
      <c r="CU1" s="44" t="s">
        <v>158</v>
      </c>
      <c r="CV1" s="45" t="s">
        <v>163</v>
      </c>
      <c r="CW1" s="44" t="s">
        <v>156</v>
      </c>
      <c r="CX1" s="45" t="s">
        <v>157</v>
      </c>
      <c r="CY1" s="44" t="s">
        <v>122</v>
      </c>
      <c r="CZ1" s="44" t="s">
        <v>169</v>
      </c>
      <c r="DA1" s="118" t="s">
        <v>171</v>
      </c>
      <c r="DB1" s="63" t="s">
        <v>103</v>
      </c>
      <c r="DC1" s="63" t="s">
        <v>104</v>
      </c>
      <c r="DD1" s="63" t="s">
        <v>105</v>
      </c>
      <c r="DE1" s="63" t="s">
        <v>106</v>
      </c>
      <c r="DF1" s="63" t="s">
        <v>107</v>
      </c>
      <c r="DG1" s="63" t="s">
        <v>108</v>
      </c>
      <c r="DH1" s="63" t="s">
        <v>170</v>
      </c>
      <c r="DI1" s="44" t="s">
        <v>112</v>
      </c>
      <c r="DJ1" s="63" t="s">
        <v>109</v>
      </c>
      <c r="DK1" s="44" t="s">
        <v>111</v>
      </c>
      <c r="DL1" s="44" t="s">
        <v>110</v>
      </c>
      <c r="DM1" s="44" t="s">
        <v>115</v>
      </c>
      <c r="DN1" s="44" t="s">
        <v>114</v>
      </c>
      <c r="DO1" s="44" t="s">
        <v>113</v>
      </c>
      <c r="DP1" s="44" t="s">
        <v>116</v>
      </c>
      <c r="DQ1" s="44" t="s">
        <v>117</v>
      </c>
      <c r="DR1" s="44" t="s">
        <v>159</v>
      </c>
      <c r="DS1" s="32" t="s">
        <v>172</v>
      </c>
      <c r="DT1" s="32" t="s">
        <v>173</v>
      </c>
      <c r="DU1" s="32" t="s">
        <v>174</v>
      </c>
      <c r="DV1" s="120" t="s">
        <v>175</v>
      </c>
      <c r="DW1" s="120" t="s">
        <v>176</v>
      </c>
      <c r="DX1" s="115" t="s">
        <v>178</v>
      </c>
      <c r="DY1" s="120" t="s">
        <v>179</v>
      </c>
      <c r="DZ1" s="120" t="s">
        <v>188</v>
      </c>
      <c r="EA1" s="128" t="s">
        <v>189</v>
      </c>
      <c r="EB1" s="120" t="s">
        <v>180</v>
      </c>
      <c r="EC1" s="120" t="s">
        <v>185</v>
      </c>
      <c r="ED1" s="125" t="s">
        <v>183</v>
      </c>
      <c r="EE1" s="122" t="s">
        <v>181</v>
      </c>
      <c r="EF1" s="122" t="s">
        <v>182</v>
      </c>
      <c r="EG1" s="76" t="s">
        <v>184</v>
      </c>
      <c r="EH1" s="112" t="s">
        <v>190</v>
      </c>
      <c r="EI1" s="132" t="s">
        <v>192</v>
      </c>
      <c r="EJ1" s="76" t="s">
        <v>193</v>
      </c>
      <c r="EK1" s="76" t="s">
        <v>199</v>
      </c>
      <c r="EL1" s="32" t="s">
        <v>194</v>
      </c>
    </row>
    <row r="2" spans="1:142" x14ac:dyDescent="0.3">
      <c r="A2" s="30">
        <f t="shared" ref="A2:A37" si="0">ROW()-1</f>
        <v>1</v>
      </c>
      <c r="B2" s="1" t="s">
        <v>10</v>
      </c>
      <c r="C2" s="1" t="s">
        <v>11</v>
      </c>
      <c r="D2" s="149" t="s">
        <v>12</v>
      </c>
      <c r="E2" s="16">
        <v>1</v>
      </c>
      <c r="F2" s="16">
        <v>0</v>
      </c>
      <c r="G2" s="16">
        <v>0</v>
      </c>
      <c r="H2" s="16">
        <v>0</v>
      </c>
      <c r="I2" s="16">
        <v>0</v>
      </c>
      <c r="K2" s="17">
        <v>276</v>
      </c>
      <c r="L2" s="2">
        <v>30.039173000000002</v>
      </c>
      <c r="M2" s="2">
        <f t="shared" ref="M2:M37" si="1">ABS(L2)</f>
        <v>30.039173000000002</v>
      </c>
      <c r="N2" s="2">
        <v>31.239411</v>
      </c>
      <c r="O2" s="3">
        <v>17266</v>
      </c>
      <c r="P2" s="3">
        <v>18419.137999999999</v>
      </c>
      <c r="Q2" s="3">
        <v>19229.733</v>
      </c>
      <c r="R2" s="6">
        <v>20076</v>
      </c>
      <c r="S2" s="134">
        <f t="shared" ref="S2:S37" si="2">IF(R2&lt;&gt;"",LN(R2),"")</f>
        <v>9.9072803507748244</v>
      </c>
      <c r="T2" s="6">
        <v>100388.076</v>
      </c>
      <c r="U2" s="3">
        <f t="shared" ref="U2:U37" si="3">T2/1000</f>
        <v>100.388076</v>
      </c>
      <c r="V2" s="6">
        <f t="shared" ref="V2:V37" si="4">LN(U2)</f>
        <v>4.609043435264276</v>
      </c>
      <c r="W2" s="4">
        <f t="shared" ref="W2:W37" si="5">(R2/T2)*100</f>
        <v>19.998391043972195</v>
      </c>
      <c r="X2" s="4">
        <v>2.1533722784672662</v>
      </c>
      <c r="Y2" s="11">
        <v>2.02</v>
      </c>
      <c r="Z2" s="4">
        <f t="shared" ref="Z2:Z37" si="6">X2/Y2</f>
        <v>1.0660258804293397</v>
      </c>
      <c r="AA2" s="17">
        <v>136396</v>
      </c>
      <c r="AB2" s="126">
        <f t="shared" ref="AB2:AB37" si="7">AA2*0.01</f>
        <v>1363.96</v>
      </c>
      <c r="AC2" s="14">
        <v>1363.96</v>
      </c>
      <c r="AD2" s="2">
        <f t="shared" ref="AD2:AD37" si="8">IF(AC2&lt;&gt;"",LN(AC2),"")</f>
        <v>7.2181475124602095</v>
      </c>
      <c r="AE2" s="6">
        <f t="shared" ref="AE2:AE37" si="9">R2/AC2</f>
        <v>14.718906712806827</v>
      </c>
      <c r="AF2" s="6">
        <f t="shared" ref="AF2:AF37" si="10">LN(AE2)</f>
        <v>2.6891328383146145</v>
      </c>
      <c r="AG2" s="5">
        <v>1001450</v>
      </c>
      <c r="AH2" s="7">
        <f t="shared" ref="AH2:AH37" si="11">AG2/1000</f>
        <v>1001.45</v>
      </c>
      <c r="AI2" s="2">
        <f t="shared" ref="AI2:AI37" si="12">AC2/AG2*100</f>
        <v>0.1361985121573718</v>
      </c>
      <c r="AJ2" s="8">
        <f t="shared" ref="AJ2:AJ37" si="13">T2/AH2</f>
        <v>100.24272405012731</v>
      </c>
      <c r="AK2" s="134">
        <f t="shared" ref="AK2:AK37" si="14">LN(AJ2)</f>
        <v>4.6075944854991713</v>
      </c>
      <c r="AL2" s="8">
        <f t="shared" ref="AL2:AL37" si="15">AE2*1000/AJ2</f>
        <v>146.83266892713831</v>
      </c>
      <c r="AM2" s="20">
        <v>0.25090000000000001</v>
      </c>
      <c r="AN2" s="53">
        <v>168000000000</v>
      </c>
      <c r="AO2" s="20">
        <f t="shared" ref="AO2:AO37" si="16">AN2/1000000000</f>
        <v>168</v>
      </c>
      <c r="AP2" s="20">
        <f t="shared" ref="AP2:AP37" si="17">IF(AO2&lt;&gt;"",LN(AO2),"")</f>
        <v>5.1239639794032588</v>
      </c>
      <c r="AQ2" s="72">
        <f t="shared" ref="AQ2:AQ37" si="18">AO2*1000000000/(Q2*1000)</f>
        <v>8736.4707559902163</v>
      </c>
      <c r="AR2" s="72">
        <f t="shared" ref="AR2:AR37" si="19">LN(AQ2)</f>
        <v>9.0752615834364807</v>
      </c>
      <c r="AS2" s="72">
        <f t="shared" ref="AS2:AS37" si="20">AN2/(AM2*1000000000000)*100</f>
        <v>66.958947787963325</v>
      </c>
      <c r="AT2" s="73">
        <v>102.2</v>
      </c>
      <c r="AU2" s="20">
        <f t="shared" ref="AU2:AU23" si="21">IF(AT2&lt;&gt;"",LN(AT2),"")</f>
        <v>4.6269316777696039</v>
      </c>
      <c r="AV2" s="73">
        <f>AT2*1000000000/(AM2*1000000000000)*100</f>
        <v>40.733359904344361</v>
      </c>
      <c r="AW2" s="53">
        <v>102165</v>
      </c>
      <c r="AX2" s="53">
        <v>7843</v>
      </c>
      <c r="AY2" s="53">
        <f>AW2*1000000/(P2*1000)</f>
        <v>5546.6765057083558</v>
      </c>
      <c r="AZ2" s="53">
        <f>Q2*BB2/1000</f>
        <v>158510.68911899999</v>
      </c>
      <c r="BA2" s="22">
        <f t="shared" ref="BA2:BA23" si="22">IF(AZ2&lt;&gt;"",LN(AZ2),"")</f>
        <v>11.973577309262142</v>
      </c>
      <c r="BB2" s="53">
        <v>8243</v>
      </c>
      <c r="BC2" s="22">
        <f t="shared" ref="BC2:BC23" si="23">IF(BB2&lt;&gt;"",LN(BB2),"")</f>
        <v>9.0171196343132269</v>
      </c>
      <c r="BD2" s="22">
        <v>0.4</v>
      </c>
      <c r="BE2" s="22">
        <f>(BB2-AX2)/1000</f>
        <v>0.4</v>
      </c>
      <c r="BF2" s="54">
        <v>5.1000892515619025</v>
      </c>
      <c r="BG2" s="54">
        <f>BE2*1000/AX2*100</f>
        <v>5.1000892515619025</v>
      </c>
      <c r="BH2" s="21">
        <v>10.744</v>
      </c>
      <c r="BI2" s="20">
        <f t="shared" ref="BI2:BI37" si="24">LN(BH2)</f>
        <v>2.3743474592209366</v>
      </c>
      <c r="BJ2" s="22">
        <v>0.47</v>
      </c>
      <c r="BK2" s="22">
        <v>0.7</v>
      </c>
      <c r="BL2" s="23">
        <v>71.8</v>
      </c>
      <c r="BM2" s="24">
        <v>-16</v>
      </c>
      <c r="BN2" s="77">
        <v>0.49199999999999999</v>
      </c>
      <c r="BO2" s="77">
        <f t="shared" ref="BO2:BO37" si="25">BK2-BN2</f>
        <v>0.20799999999999996</v>
      </c>
      <c r="BP2" s="113">
        <v>1.3</v>
      </c>
      <c r="BQ2" s="77">
        <f t="shared" ref="BQ2:BQ37" si="26">LN(BP2)</f>
        <v>0.26236426446749106</v>
      </c>
      <c r="BS2" s="9">
        <v>11056</v>
      </c>
      <c r="BT2" s="19">
        <v>39.799999999999997</v>
      </c>
      <c r="BU2" s="18">
        <v>30897.47</v>
      </c>
      <c r="BV2" s="60">
        <f t="shared" ref="BV2:BV37" si="27">IF(BU2&lt;&gt;"",LN(BU2),"")</f>
        <v>10.338429582511077</v>
      </c>
      <c r="BW2" s="61">
        <f>BU2*1000000/(R2*1000)</f>
        <v>1539.025204223949</v>
      </c>
      <c r="BX2" s="60">
        <f t="shared" ref="BX2:BX26" si="28">IF(BW2&lt;&gt;"",LN(BW2),"")</f>
        <v>7.3389045107183897</v>
      </c>
      <c r="BY2" s="60">
        <f t="shared" ref="BY2:BY37" si="29">IF(BU2&lt;&gt;"",BU2/AC2,"")</f>
        <v>22.652768409630781</v>
      </c>
      <c r="BZ2" s="60">
        <f t="shared" ref="BZ2:BZ37" si="30">IF(BY2&lt;&gt;"",LN(BY2),"")</f>
        <v>3.1202820700508669</v>
      </c>
      <c r="CA2" s="60">
        <f t="shared" ref="CA2:CA37" si="31">IF(BU2&lt;&gt;"",100*BU2*1000000/(AO2*1000000000),"")</f>
        <v>18.39135119047619</v>
      </c>
      <c r="CB2" s="60">
        <f t="shared" ref="CB2:CB37" si="32">IF(CA2&lt;&gt;"",LN(CA2),"")</f>
        <v>2.9118805101137721</v>
      </c>
      <c r="CC2" s="18">
        <v>19373</v>
      </c>
      <c r="CD2" s="18">
        <f t="shared" ref="CD2:CD37" si="33">IF(CC2&lt;&gt;"",CC2*0.2777778,"")</f>
        <v>5381.3893194000002</v>
      </c>
      <c r="CE2" s="18">
        <f t="shared" ref="CE2:CE37" si="34">IF(CD2&lt;&gt;"",LN(CD2),"")</f>
        <v>8.5907018576248788</v>
      </c>
      <c r="CF2" s="18">
        <f t="shared" ref="CF2:CF37" si="35">IF(AND(CD2&lt;&gt;"",CJ2&lt;&gt;""),CD2/CJ2*100,"")</f>
        <v>5.0772077323045961</v>
      </c>
      <c r="CG2" s="18">
        <f t="shared" ref="CG2:CG37" si="36">IF(CD2&lt;&gt;"",CD2*1000000/(O2*1000),"")</f>
        <v>311.67550789991895</v>
      </c>
      <c r="CH2" s="135">
        <f t="shared" ref="CH2:CH37" si="37">IF(CG2&lt;&gt;"",LN(CG2),"")</f>
        <v>5.7419626078115478</v>
      </c>
      <c r="CI2" s="9">
        <v>381568</v>
      </c>
      <c r="CJ2" s="9">
        <f t="shared" ref="CJ2:CJ37" si="38">IF(CI2&lt;&gt;"",CI2*0.2777778,"")</f>
        <v>105991.11959040001</v>
      </c>
      <c r="CK2" s="135">
        <f t="shared" ref="CK2:CK37" si="39">IF(CJ2&lt;&gt;"",LN(CJ2),"")</f>
        <v>11.571110592135621</v>
      </c>
      <c r="CL2" s="61">
        <f t="shared" ref="CL2:CL37" si="40">IF(CJ2&lt;&gt;"",(CJ2*1000000)/(O2*1000),"")</f>
        <v>6138.718845731496</v>
      </c>
      <c r="CM2" s="135">
        <f t="shared" ref="CM2:CM37" si="41">IF(CL2&lt;&gt;"",LN(CL2),"")</f>
        <v>8.7223713423222904</v>
      </c>
      <c r="CN2" s="61">
        <f t="shared" ref="CN2:CN37" si="42">IF(AND(CL2&lt;&gt;"",CG2&lt;&gt;""),CG2/CL2*100,"")</f>
        <v>5.0772077323045961</v>
      </c>
      <c r="CO2" s="113"/>
      <c r="CP2" s="129"/>
      <c r="CQ2" s="136"/>
      <c r="CR2" s="77" t="str">
        <f t="shared" ref="CR2:CR37" si="43">IF(CO2&lt;&gt;"",LN(CO2),"")</f>
        <v/>
      </c>
      <c r="CS2" s="25">
        <v>1.8</v>
      </c>
      <c r="CT2" s="2">
        <f t="shared" ref="CT2:CT37" si="44">IF(CS2&lt;&gt;"",LN(CS2),"")</f>
        <v>0.58778666490211906</v>
      </c>
      <c r="CU2" s="7">
        <f t="shared" ref="CU2:CU37" si="45">R2*CS2</f>
        <v>36136.800000000003</v>
      </c>
      <c r="CV2" s="2">
        <f t="shared" ref="CV2:CV37" si="46">IF(CU2&lt;&gt;"",LN(CU2),"")</f>
        <v>10.495067015676943</v>
      </c>
      <c r="CW2" s="14">
        <f t="shared" ref="CW2:CW37" si="47">CU2/100</f>
        <v>361.36800000000005</v>
      </c>
      <c r="CX2" s="2">
        <f t="shared" ref="CX2:CX37" si="48">LN(CW2)</f>
        <v>5.8898968296888521</v>
      </c>
      <c r="CY2" s="2">
        <f t="shared" ref="CY2:CY37" si="49">CW2*1000/AG2</f>
        <v>0.36084477507613966</v>
      </c>
      <c r="CZ2" s="13">
        <f t="shared" ref="CZ2:CZ37" si="50">CW2*1000/AC2</f>
        <v>264.94032083052292</v>
      </c>
      <c r="DA2" s="2">
        <f t="shared" ref="DA2:DA37" si="51">LN(CZ2)</f>
        <v>5.5795045962107794</v>
      </c>
      <c r="DB2" s="64">
        <v>1.22</v>
      </c>
      <c r="DC2" s="64">
        <v>1.96</v>
      </c>
      <c r="DD2" s="64">
        <v>1.96</v>
      </c>
      <c r="DE2" s="64">
        <v>1.83</v>
      </c>
      <c r="DF2" s="64">
        <v>0.56999999999999995</v>
      </c>
      <c r="DG2" s="64">
        <v>2.08</v>
      </c>
      <c r="DH2" s="65">
        <v>16</v>
      </c>
      <c r="DI2" s="15">
        <v>0</v>
      </c>
      <c r="DJ2" s="67">
        <v>29.766666666666666</v>
      </c>
      <c r="DK2" s="15">
        <v>13.766666666666666</v>
      </c>
      <c r="DL2" s="15">
        <f t="shared" ref="DL2:DL19" si="52">DI2+DK2</f>
        <v>13.766666666666666</v>
      </c>
      <c r="DM2" s="13">
        <v>3.5</v>
      </c>
      <c r="DR2" s="13">
        <f>AVERAGE(DM2:DQ2)</f>
        <v>3.5</v>
      </c>
      <c r="DS2" s="30">
        <v>21</v>
      </c>
      <c r="DT2" s="30">
        <v>27</v>
      </c>
      <c r="DU2" s="30">
        <v>16</v>
      </c>
      <c r="DV2" s="121">
        <v>20</v>
      </c>
      <c r="DW2" s="121">
        <v>29</v>
      </c>
      <c r="DX2" s="77">
        <f t="shared" ref="DX2:DX37" si="53">LN(DW2)</f>
        <v>3.3672958299864741</v>
      </c>
      <c r="DY2" s="121">
        <v>9500000</v>
      </c>
      <c r="DZ2" s="17">
        <f t="shared" ref="DZ2:DZ37" si="54">DY2/1000</f>
        <v>9500</v>
      </c>
      <c r="EA2" s="129">
        <f t="shared" ref="EA2:EA37" si="55">LN(DZ2)</f>
        <v>9.1590470775886317</v>
      </c>
      <c r="EB2" s="121">
        <v>20440000</v>
      </c>
      <c r="EC2" s="17">
        <f t="shared" ref="EC2:EC37" si="56">EB2/1000</f>
        <v>20440</v>
      </c>
      <c r="ED2" s="126">
        <f t="shared" ref="ED2:ED37" si="57">LN(EC2)</f>
        <v>9.9252490443176402</v>
      </c>
      <c r="EE2" s="123">
        <f t="shared" ref="EE2:EE37" si="58">IF(AND(DY2&lt;&gt;"",EB2&lt;&gt;""),DY2/EB2,"")</f>
        <v>0.46477495107632094</v>
      </c>
      <c r="EF2" s="123">
        <f t="shared" ref="EF2:EF37" si="59">IF(AND(DY2&lt;&gt;"",EB2&lt;&gt;""),EB2/DY2,"")</f>
        <v>2.1515789473684213</v>
      </c>
      <c r="EG2" s="77">
        <f t="shared" ref="EG2:EG37" si="60">LN(EF2)</f>
        <v>0.76620196672900864</v>
      </c>
      <c r="EH2" s="131">
        <v>24.1</v>
      </c>
      <c r="EI2" s="77">
        <v>0.57299999999999995</v>
      </c>
      <c r="EJ2" s="77">
        <v>3.5999999999999997E-2</v>
      </c>
      <c r="EK2" s="77">
        <f t="shared" ref="EK2:EK37" si="61">LN(EJ2)</f>
        <v>-3.3242363405260273</v>
      </c>
      <c r="EL2" s="30">
        <v>0</v>
      </c>
    </row>
    <row r="3" spans="1:142" x14ac:dyDescent="0.3">
      <c r="A3" s="30">
        <f t="shared" si="0"/>
        <v>2</v>
      </c>
      <c r="B3" s="1" t="s">
        <v>24</v>
      </c>
      <c r="C3" s="1" t="s">
        <v>125</v>
      </c>
      <c r="D3" s="149" t="s">
        <v>12</v>
      </c>
      <c r="E3" s="16">
        <v>1</v>
      </c>
      <c r="F3" s="16">
        <v>0</v>
      </c>
      <c r="G3" s="16">
        <v>0</v>
      </c>
      <c r="H3" s="16">
        <v>0</v>
      </c>
      <c r="I3" s="16">
        <v>0</v>
      </c>
      <c r="K3" s="17">
        <v>27</v>
      </c>
      <c r="L3" s="2">
        <v>-4.3275800000000002</v>
      </c>
      <c r="M3" s="2">
        <f t="shared" si="1"/>
        <v>4.3275800000000002</v>
      </c>
      <c r="N3" s="2">
        <v>15.31357</v>
      </c>
      <c r="O3" s="3">
        <v>9788</v>
      </c>
      <c r="P3" s="3">
        <v>11116.133</v>
      </c>
      <c r="Q3" s="3">
        <v>12100.142</v>
      </c>
      <c r="R3" s="6">
        <v>13171</v>
      </c>
      <c r="S3" s="134">
        <f t="shared" si="2"/>
        <v>9.4857727219990462</v>
      </c>
      <c r="T3" s="6">
        <v>86790.567999999999</v>
      </c>
      <c r="U3" s="3">
        <f t="shared" si="3"/>
        <v>86.790567999999993</v>
      </c>
      <c r="V3" s="6">
        <f t="shared" si="4"/>
        <v>4.4634979521675184</v>
      </c>
      <c r="W3" s="4">
        <f t="shared" si="5"/>
        <v>15.17561217020725</v>
      </c>
      <c r="X3" s="4">
        <v>4.2409839744737514</v>
      </c>
      <c r="Y3" s="11">
        <v>3.31</v>
      </c>
      <c r="Z3" s="4">
        <f t="shared" si="6"/>
        <v>1.281264040626511</v>
      </c>
      <c r="AA3" s="17">
        <v>45681</v>
      </c>
      <c r="AB3" s="126">
        <f t="shared" si="7"/>
        <v>456.81</v>
      </c>
      <c r="AC3" s="14">
        <v>456.81</v>
      </c>
      <c r="AD3" s="2">
        <f t="shared" si="8"/>
        <v>6.1242675495207504</v>
      </c>
      <c r="AE3" s="6">
        <f t="shared" si="9"/>
        <v>28.832556204986755</v>
      </c>
      <c r="AF3" s="6">
        <f t="shared" si="10"/>
        <v>3.3615051724782958</v>
      </c>
      <c r="AG3" s="5">
        <v>2344858</v>
      </c>
      <c r="AH3" s="7">
        <f t="shared" si="11"/>
        <v>2344.8580000000002</v>
      </c>
      <c r="AI3" s="2">
        <f t="shared" si="12"/>
        <v>1.9481350256604024E-2</v>
      </c>
      <c r="AJ3" s="8">
        <f t="shared" si="13"/>
        <v>37.013144505978609</v>
      </c>
      <c r="AK3" s="134">
        <f t="shared" si="14"/>
        <v>3.6112731064737678</v>
      </c>
      <c r="AL3" s="8">
        <f t="shared" si="15"/>
        <v>778.98153723009216</v>
      </c>
      <c r="AM3" s="20">
        <v>4.7230000000000001E-2</v>
      </c>
      <c r="AN3" s="53">
        <f>14570000*444.51</f>
        <v>6476510700</v>
      </c>
      <c r="AO3" s="20">
        <f t="shared" si="16"/>
        <v>6.4765107000000004</v>
      </c>
      <c r="AP3" s="20">
        <f t="shared" si="17"/>
        <v>1.8681818931137293</v>
      </c>
      <c r="AQ3" s="72">
        <f t="shared" si="18"/>
        <v>535.24253682312155</v>
      </c>
      <c r="AR3" s="72">
        <f t="shared" si="19"/>
        <v>6.2827199840248413</v>
      </c>
      <c r="AS3" s="72">
        <f t="shared" si="20"/>
        <v>13.712705272072833</v>
      </c>
      <c r="AU3" s="20" t="str">
        <f t="shared" si="21"/>
        <v/>
      </c>
      <c r="AW3" s="53"/>
      <c r="AX3" s="53"/>
      <c r="AY3" s="53"/>
      <c r="AZ3" s="53"/>
      <c r="BA3" s="22" t="str">
        <f t="shared" si="22"/>
        <v/>
      </c>
      <c r="BB3" s="53"/>
      <c r="BC3" s="22" t="str">
        <f t="shared" si="23"/>
        <v/>
      </c>
      <c r="BF3" s="54">
        <v>0</v>
      </c>
      <c r="BG3" s="54"/>
      <c r="BH3" s="116">
        <v>0.8</v>
      </c>
      <c r="BI3" s="20">
        <f t="shared" si="24"/>
        <v>-0.22314355131420971</v>
      </c>
      <c r="BJ3" s="22">
        <v>0.42100000000000004</v>
      </c>
      <c r="BK3" s="22">
        <v>0.45900000000000002</v>
      </c>
      <c r="BL3" s="23">
        <v>60.4</v>
      </c>
      <c r="BM3" s="24">
        <v>8</v>
      </c>
      <c r="BN3" s="77">
        <v>0.316</v>
      </c>
      <c r="BO3" s="77">
        <f t="shared" si="25"/>
        <v>0.14300000000000002</v>
      </c>
      <c r="BP3" s="113">
        <v>2.1</v>
      </c>
      <c r="BQ3" s="77">
        <f t="shared" si="26"/>
        <v>0.74193734472937733</v>
      </c>
      <c r="BS3" s="10">
        <v>489</v>
      </c>
      <c r="BV3" s="60" t="str">
        <f t="shared" si="27"/>
        <v/>
      </c>
      <c r="BW3" s="61"/>
      <c r="BX3" s="60" t="str">
        <f t="shared" si="28"/>
        <v/>
      </c>
      <c r="BY3" s="60" t="str">
        <f t="shared" si="29"/>
        <v/>
      </c>
      <c r="BZ3" s="60" t="str">
        <f t="shared" si="30"/>
        <v/>
      </c>
      <c r="CA3" s="60" t="str">
        <f t="shared" si="31"/>
        <v/>
      </c>
      <c r="CB3" s="60" t="str">
        <f t="shared" si="32"/>
        <v/>
      </c>
      <c r="CD3" s="18" t="str">
        <f t="shared" si="33"/>
        <v/>
      </c>
      <c r="CE3" s="18" t="str">
        <f t="shared" si="34"/>
        <v/>
      </c>
      <c r="CF3" s="18" t="str">
        <f t="shared" si="35"/>
        <v/>
      </c>
      <c r="CG3" s="18" t="str">
        <f t="shared" si="36"/>
        <v/>
      </c>
      <c r="CH3" s="135" t="str">
        <f t="shared" si="37"/>
        <v/>
      </c>
      <c r="CJ3" s="9" t="str">
        <f t="shared" si="38"/>
        <v/>
      </c>
      <c r="CK3" s="135" t="str">
        <f t="shared" si="39"/>
        <v/>
      </c>
      <c r="CL3" s="61" t="str">
        <f t="shared" si="40"/>
        <v/>
      </c>
      <c r="CM3" s="135" t="str">
        <f t="shared" si="41"/>
        <v/>
      </c>
      <c r="CN3" s="61" t="str">
        <f t="shared" si="42"/>
        <v/>
      </c>
      <c r="CO3" s="113"/>
      <c r="CP3" s="129"/>
      <c r="CQ3" s="136"/>
      <c r="CR3" s="77" t="str">
        <f t="shared" si="43"/>
        <v/>
      </c>
      <c r="CS3" s="25">
        <v>0.7</v>
      </c>
      <c r="CT3" s="2">
        <f t="shared" si="44"/>
        <v>-0.35667494393873245</v>
      </c>
      <c r="CU3" s="7">
        <f t="shared" si="45"/>
        <v>9219.6999999999989</v>
      </c>
      <c r="CV3" s="2">
        <f t="shared" si="46"/>
        <v>9.1290977780603146</v>
      </c>
      <c r="CW3" s="14">
        <f t="shared" si="47"/>
        <v>92.196999999999989</v>
      </c>
      <c r="CX3" s="2">
        <f t="shared" si="48"/>
        <v>4.5239275920722228</v>
      </c>
      <c r="CY3" s="2">
        <f t="shared" si="49"/>
        <v>3.9318798835579802E-2</v>
      </c>
      <c r="CZ3" s="13">
        <f t="shared" si="50"/>
        <v>201.82789343490725</v>
      </c>
      <c r="DA3" s="2">
        <f t="shared" si="51"/>
        <v>5.3074153215336093</v>
      </c>
      <c r="DB3" s="64">
        <v>2.67</v>
      </c>
      <c r="DC3" s="64">
        <v>0.57999999999999996</v>
      </c>
      <c r="DD3" s="64">
        <v>3.26</v>
      </c>
      <c r="DE3" s="64">
        <v>0.32</v>
      </c>
      <c r="DF3" s="64">
        <v>2.13</v>
      </c>
      <c r="DG3" s="64">
        <v>0.68</v>
      </c>
      <c r="DH3" s="65">
        <v>25.2</v>
      </c>
      <c r="DJ3" s="67">
        <v>23.966666666666669</v>
      </c>
      <c r="DK3" s="15">
        <v>9.1999999999999993</v>
      </c>
      <c r="DL3" s="15">
        <f t="shared" si="52"/>
        <v>9.1999999999999993</v>
      </c>
      <c r="DM3" s="13"/>
      <c r="DR3" s="13"/>
      <c r="DS3" s="16">
        <v>26</v>
      </c>
      <c r="DT3" s="16">
        <v>28</v>
      </c>
      <c r="DU3" s="16">
        <v>22</v>
      </c>
      <c r="DV3" s="17">
        <v>1368</v>
      </c>
      <c r="DW3" s="17">
        <v>279</v>
      </c>
      <c r="DX3" s="77">
        <f t="shared" si="53"/>
        <v>5.6312117818213654</v>
      </c>
      <c r="DY3" s="17">
        <v>10125000</v>
      </c>
      <c r="DZ3" s="17">
        <f t="shared" si="54"/>
        <v>10125</v>
      </c>
      <c r="EA3" s="129">
        <f t="shared" si="55"/>
        <v>9.2227628919747406</v>
      </c>
      <c r="EB3" s="17">
        <v>21265000</v>
      </c>
      <c r="EC3" s="17">
        <f t="shared" si="56"/>
        <v>21265</v>
      </c>
      <c r="ED3" s="126">
        <f t="shared" si="57"/>
        <v>9.9648178076877336</v>
      </c>
      <c r="EE3" s="123">
        <f t="shared" si="58"/>
        <v>0.47613449329884788</v>
      </c>
      <c r="EF3" s="123">
        <f t="shared" si="59"/>
        <v>2.1002469135802468</v>
      </c>
      <c r="EG3" s="77">
        <f t="shared" si="60"/>
        <v>0.74205491571299398</v>
      </c>
      <c r="EH3" s="113">
        <v>16.7</v>
      </c>
      <c r="EI3" s="77">
        <v>0.372</v>
      </c>
      <c r="EJ3" s="77">
        <v>6.2E-2</v>
      </c>
      <c r="EK3" s="77">
        <f t="shared" si="61"/>
        <v>-2.7806208939370456</v>
      </c>
      <c r="EL3" s="16">
        <v>1</v>
      </c>
    </row>
    <row r="4" spans="1:142" x14ac:dyDescent="0.3">
      <c r="A4" s="30">
        <f t="shared" si="0"/>
        <v>3</v>
      </c>
      <c r="B4" s="1" t="s">
        <v>25</v>
      </c>
      <c r="C4" s="1" t="s">
        <v>26</v>
      </c>
      <c r="D4" s="149" t="s">
        <v>12</v>
      </c>
      <c r="E4" s="16">
        <v>1</v>
      </c>
      <c r="F4" s="16">
        <v>0</v>
      </c>
      <c r="G4" s="16">
        <v>0</v>
      </c>
      <c r="H4" s="16">
        <v>0</v>
      </c>
      <c r="I4" s="16">
        <v>0</v>
      </c>
      <c r="K4" s="17">
        <v>171</v>
      </c>
      <c r="L4" s="2">
        <v>6.4530599999999998</v>
      </c>
      <c r="M4" s="2">
        <f t="shared" si="1"/>
        <v>6.4530599999999998</v>
      </c>
      <c r="N4" s="2">
        <v>3.3958300000000001</v>
      </c>
      <c r="O4" s="3">
        <v>10778</v>
      </c>
      <c r="P4" s="3">
        <v>11856.391</v>
      </c>
      <c r="Q4" s="3">
        <v>14508.143</v>
      </c>
      <c r="R4" s="6">
        <v>13463</v>
      </c>
      <c r="S4" s="134">
        <f t="shared" si="2"/>
        <v>9.507700460979235</v>
      </c>
      <c r="T4" s="6">
        <v>200963.603</v>
      </c>
      <c r="U4" s="3">
        <f t="shared" si="3"/>
        <v>200.96360300000001</v>
      </c>
      <c r="V4" s="6">
        <f t="shared" si="4"/>
        <v>5.3031238120601953</v>
      </c>
      <c r="W4" s="4">
        <f t="shared" si="5"/>
        <v>6.6992230428910062</v>
      </c>
      <c r="X4" s="4">
        <v>3.2316547633991153</v>
      </c>
      <c r="Y4" s="11">
        <v>2.66</v>
      </c>
      <c r="Z4" s="4">
        <f t="shared" si="6"/>
        <v>1.2149078057891409</v>
      </c>
      <c r="AA4" s="17">
        <v>82684</v>
      </c>
      <c r="AB4" s="126">
        <f t="shared" si="7"/>
        <v>826.84</v>
      </c>
      <c r="AC4" s="14">
        <v>826.84</v>
      </c>
      <c r="AD4" s="2">
        <f t="shared" si="8"/>
        <v>6.7176112059310356</v>
      </c>
      <c r="AE4" s="6">
        <f t="shared" si="9"/>
        <v>16.282473029848578</v>
      </c>
      <c r="AF4" s="6">
        <f t="shared" si="10"/>
        <v>2.7900892550481995</v>
      </c>
      <c r="AG4" s="5">
        <v>923768</v>
      </c>
      <c r="AH4" s="7">
        <f t="shared" si="11"/>
        <v>923.76800000000003</v>
      </c>
      <c r="AI4" s="2">
        <f t="shared" si="12"/>
        <v>8.9507322184790988E-2</v>
      </c>
      <c r="AJ4" s="8">
        <f t="shared" si="13"/>
        <v>217.54769920586122</v>
      </c>
      <c r="AK4" s="134">
        <f t="shared" si="14"/>
        <v>5.382418133178156</v>
      </c>
      <c r="AL4" s="8">
        <f t="shared" si="15"/>
        <v>74.845530838920922</v>
      </c>
      <c r="AM4" s="20">
        <v>0.39729999999999999</v>
      </c>
      <c r="AN4" s="53">
        <v>33679000000</v>
      </c>
      <c r="AO4" s="20">
        <f t="shared" si="16"/>
        <v>33.679000000000002</v>
      </c>
      <c r="AP4" s="20">
        <f t="shared" si="17"/>
        <v>3.5168744977219317</v>
      </c>
      <c r="AQ4" s="72">
        <f t="shared" si="18"/>
        <v>2321.3859968157194</v>
      </c>
      <c r="AR4" s="72">
        <f t="shared" si="19"/>
        <v>7.7499196987011647</v>
      </c>
      <c r="AS4" s="72">
        <f t="shared" si="20"/>
        <v>8.4769695444248665</v>
      </c>
      <c r="AU4" s="20" t="str">
        <f t="shared" si="21"/>
        <v/>
      </c>
      <c r="AW4" s="53"/>
      <c r="AX4" s="53"/>
      <c r="AY4" s="53"/>
      <c r="AZ4" s="53"/>
      <c r="BA4" s="22" t="str">
        <f t="shared" si="22"/>
        <v/>
      </c>
      <c r="BB4" s="53"/>
      <c r="BC4" s="22" t="str">
        <f t="shared" si="23"/>
        <v/>
      </c>
      <c r="BF4" s="54">
        <v>0</v>
      </c>
      <c r="BG4" s="54"/>
      <c r="BH4" s="21">
        <v>5.0860000000000003</v>
      </c>
      <c r="BI4" s="20">
        <f t="shared" si="24"/>
        <v>1.6264916669999279</v>
      </c>
      <c r="BJ4" s="22">
        <v>0.39</v>
      </c>
      <c r="BK4" s="22">
        <v>0.53400000000000003</v>
      </c>
      <c r="BL4" s="23">
        <v>54.3</v>
      </c>
      <c r="BM4" s="24">
        <v>-22</v>
      </c>
      <c r="BN4" s="77">
        <v>0.34899999999999998</v>
      </c>
      <c r="BO4" s="77">
        <f t="shared" si="25"/>
        <v>0.18500000000000005</v>
      </c>
      <c r="BP4" s="113">
        <v>2.2000000000000002</v>
      </c>
      <c r="BQ4" s="77">
        <f t="shared" si="26"/>
        <v>0.78845736036427028</v>
      </c>
      <c r="BR4" s="113">
        <v>12.3</v>
      </c>
      <c r="BS4" s="9">
        <v>2726</v>
      </c>
      <c r="BU4" s="18">
        <v>1600</v>
      </c>
      <c r="BV4" s="60">
        <f t="shared" si="27"/>
        <v>7.3777589082278725</v>
      </c>
      <c r="BW4" s="61">
        <f>BU4*1000000/(R4*1000)</f>
        <v>118.84423976825373</v>
      </c>
      <c r="BX4" s="60">
        <f t="shared" si="28"/>
        <v>4.7778137262307752</v>
      </c>
      <c r="BY4" s="60">
        <f t="shared" si="29"/>
        <v>1.9350781287794494</v>
      </c>
      <c r="BZ4" s="60">
        <f t="shared" si="30"/>
        <v>0.66014770229683739</v>
      </c>
      <c r="CA4" s="60">
        <f t="shared" si="31"/>
        <v>4.7507348793016417</v>
      </c>
      <c r="CB4" s="60">
        <f t="shared" si="32"/>
        <v>1.5582993175118951</v>
      </c>
      <c r="CC4" s="18">
        <v>46262.31</v>
      </c>
      <c r="CD4" s="18">
        <f t="shared" si="33"/>
        <v>12850.642694718001</v>
      </c>
      <c r="CE4" s="18">
        <f t="shared" si="34"/>
        <v>9.461149104225802</v>
      </c>
      <c r="CF4" s="18">
        <f t="shared" si="35"/>
        <v>6.7008951462217015</v>
      </c>
      <c r="CG4" s="18">
        <f t="shared" si="36"/>
        <v>1192.3030891369456</v>
      </c>
      <c r="CH4" s="135">
        <f t="shared" si="37"/>
        <v>7.083642084714497</v>
      </c>
      <c r="CI4" s="9">
        <v>690390</v>
      </c>
      <c r="CJ4" s="9">
        <f t="shared" si="38"/>
        <v>191775.015342</v>
      </c>
      <c r="CK4" s="135">
        <f t="shared" si="39"/>
        <v>12.164078168827494</v>
      </c>
      <c r="CL4" s="61">
        <f t="shared" si="40"/>
        <v>17793.19125459269</v>
      </c>
      <c r="CM4" s="135">
        <f t="shared" si="41"/>
        <v>9.7865711493161882</v>
      </c>
      <c r="CN4" s="61">
        <f t="shared" si="42"/>
        <v>6.7008951462216997</v>
      </c>
      <c r="CO4" s="113">
        <v>0.5</v>
      </c>
      <c r="CP4" s="129">
        <v>11014</v>
      </c>
      <c r="CQ4" s="136">
        <v>5.7</v>
      </c>
      <c r="CR4" s="77">
        <f t="shared" si="43"/>
        <v>-0.69314718055994529</v>
      </c>
      <c r="CS4" s="25">
        <v>1.1000000000000001</v>
      </c>
      <c r="CT4" s="2">
        <f t="shared" si="44"/>
        <v>9.5310179804324935E-2</v>
      </c>
      <c r="CU4" s="7">
        <f t="shared" si="45"/>
        <v>14809.300000000001</v>
      </c>
      <c r="CV4" s="2">
        <f t="shared" si="46"/>
        <v>9.6030106407835589</v>
      </c>
      <c r="CW4" s="14">
        <f t="shared" si="47"/>
        <v>148.09300000000002</v>
      </c>
      <c r="CX4" s="2">
        <f t="shared" si="48"/>
        <v>4.997840454795468</v>
      </c>
      <c r="CY4" s="2">
        <f t="shared" si="49"/>
        <v>0.16031406153926098</v>
      </c>
      <c r="CZ4" s="13">
        <f t="shared" si="50"/>
        <v>179.10720332833441</v>
      </c>
      <c r="DA4" s="2">
        <f t="shared" si="51"/>
        <v>5.1879845278465702</v>
      </c>
      <c r="DB4" s="64">
        <v>3.89</v>
      </c>
      <c r="DC4" s="64">
        <v>0.89</v>
      </c>
      <c r="DD4" s="64">
        <v>4.4800000000000004</v>
      </c>
      <c r="DE4" s="64">
        <v>0.7</v>
      </c>
      <c r="DF4" s="64">
        <v>3.36</v>
      </c>
      <c r="DG4" s="64">
        <v>1.1599999999999999</v>
      </c>
      <c r="DH4" s="65">
        <v>27.899999999999995</v>
      </c>
      <c r="DI4" s="15">
        <v>0</v>
      </c>
      <c r="DJ4" s="67">
        <v>26.900000000000002</v>
      </c>
      <c r="DK4" s="15">
        <v>10.900000000000002</v>
      </c>
      <c r="DL4" s="15">
        <f t="shared" si="52"/>
        <v>10.900000000000002</v>
      </c>
      <c r="DM4" s="13">
        <v>6.5</v>
      </c>
      <c r="DR4" s="13">
        <f>AVERAGE(DM4:DQ4)</f>
        <v>6.5</v>
      </c>
      <c r="DS4" s="16">
        <v>27</v>
      </c>
      <c r="DT4" s="16">
        <v>27</v>
      </c>
      <c r="DU4" s="16">
        <v>26</v>
      </c>
      <c r="DV4" s="17">
        <v>1507</v>
      </c>
      <c r="DW4" s="17">
        <v>6</v>
      </c>
      <c r="DX4" s="77">
        <f t="shared" si="53"/>
        <v>1.791759469228055</v>
      </c>
      <c r="DY4" s="17">
        <v>8048000</v>
      </c>
      <c r="DZ4" s="17">
        <f t="shared" si="54"/>
        <v>8048</v>
      </c>
      <c r="EA4" s="129">
        <f t="shared" si="55"/>
        <v>8.9931788923395199</v>
      </c>
      <c r="EB4" s="17">
        <v>16060000</v>
      </c>
      <c r="EC4" s="17">
        <f t="shared" si="56"/>
        <v>16060</v>
      </c>
      <c r="ED4" s="126">
        <f t="shared" si="57"/>
        <v>9.684086987500752</v>
      </c>
      <c r="EE4" s="123">
        <f t="shared" si="58"/>
        <v>0.50112079701120793</v>
      </c>
      <c r="EF4" s="123">
        <f t="shared" si="59"/>
        <v>1.9955268389662029</v>
      </c>
      <c r="EG4" s="77">
        <f t="shared" si="60"/>
        <v>0.69090809516123231</v>
      </c>
      <c r="EH4" s="113">
        <v>18.600000000000001</v>
      </c>
      <c r="EI4" s="77">
        <v>0.42499999999999999</v>
      </c>
      <c r="EJ4" s="77">
        <v>6.7000000000000004E-2</v>
      </c>
      <c r="EK4" s="77">
        <f t="shared" si="61"/>
        <v>-2.7030626595911711</v>
      </c>
      <c r="EL4" s="16">
        <v>1</v>
      </c>
    </row>
    <row r="5" spans="1:142" x14ac:dyDescent="0.3">
      <c r="A5" s="30">
        <f t="shared" si="0"/>
        <v>4</v>
      </c>
      <c r="B5" s="1" t="s">
        <v>2</v>
      </c>
      <c r="C5" s="1" t="s">
        <v>3</v>
      </c>
      <c r="D5" s="149" t="s">
        <v>1</v>
      </c>
      <c r="E5" s="16">
        <v>0</v>
      </c>
      <c r="F5" s="16">
        <v>1</v>
      </c>
      <c r="G5" s="16">
        <v>0</v>
      </c>
      <c r="H5" s="16">
        <v>0</v>
      </c>
      <c r="I5" s="16">
        <v>0</v>
      </c>
      <c r="J5" s="17">
        <v>174</v>
      </c>
      <c r="K5" s="17">
        <v>2130</v>
      </c>
      <c r="L5" s="2">
        <v>13.721964</v>
      </c>
      <c r="M5" s="2">
        <f t="shared" si="1"/>
        <v>13.721964</v>
      </c>
      <c r="N5" s="2">
        <v>100.525248</v>
      </c>
      <c r="O5" s="3">
        <v>8484</v>
      </c>
      <c r="P5" s="3">
        <v>9164.2250000000004</v>
      </c>
      <c r="Q5" s="3">
        <v>9647.5259999999998</v>
      </c>
      <c r="R5" s="6">
        <v>10156</v>
      </c>
      <c r="S5" s="134">
        <f t="shared" si="2"/>
        <v>9.2258199428245682</v>
      </c>
      <c r="T5" s="6">
        <v>69625</v>
      </c>
      <c r="U5" s="3">
        <f t="shared" si="3"/>
        <v>69.625</v>
      </c>
      <c r="V5" s="6">
        <f t="shared" si="4"/>
        <v>4.2431236982474481</v>
      </c>
      <c r="W5" s="4">
        <f t="shared" si="5"/>
        <v>14.586714542190304</v>
      </c>
      <c r="X5" s="4">
        <v>2.5697087597600206</v>
      </c>
      <c r="Y5" s="11">
        <v>0.5</v>
      </c>
      <c r="Z5" s="4">
        <f t="shared" si="6"/>
        <v>5.1394175195200411</v>
      </c>
      <c r="AA5" s="17">
        <v>294462</v>
      </c>
      <c r="AB5" s="126">
        <f t="shared" si="7"/>
        <v>2944.62</v>
      </c>
      <c r="AC5" s="14">
        <v>2944.62</v>
      </c>
      <c r="AD5" s="2">
        <f t="shared" si="8"/>
        <v>7.9877350555022444</v>
      </c>
      <c r="AE5" s="6">
        <f t="shared" si="9"/>
        <v>3.4490019085654517</v>
      </c>
      <c r="AF5" s="6">
        <f t="shared" si="10"/>
        <v>1.2380848873223245</v>
      </c>
      <c r="AG5" s="5">
        <v>513120</v>
      </c>
      <c r="AH5" s="7">
        <f t="shared" si="11"/>
        <v>513.12</v>
      </c>
      <c r="AI5" s="2">
        <f t="shared" si="12"/>
        <v>0.57386576239476139</v>
      </c>
      <c r="AJ5" s="8">
        <f t="shared" si="13"/>
        <v>135.68950732772061</v>
      </c>
      <c r="AK5" s="134">
        <f t="shared" si="14"/>
        <v>4.9103692412847399</v>
      </c>
      <c r="AL5" s="8">
        <f t="shared" si="15"/>
        <v>25.418339092611916</v>
      </c>
      <c r="AM5" s="20">
        <v>0.505</v>
      </c>
      <c r="AN5" s="53">
        <v>98340000000</v>
      </c>
      <c r="AO5" s="20">
        <f t="shared" si="16"/>
        <v>98.34</v>
      </c>
      <c r="AP5" s="20">
        <f t="shared" si="17"/>
        <v>4.5884308619837935</v>
      </c>
      <c r="AQ5" s="72">
        <f t="shared" si="18"/>
        <v>10193.286859242462</v>
      </c>
      <c r="AR5" s="72">
        <f t="shared" si="19"/>
        <v>9.2294846315412205</v>
      </c>
      <c r="AS5" s="72">
        <f t="shared" si="20"/>
        <v>19.473267326732675</v>
      </c>
      <c r="AT5" s="73">
        <v>306.8</v>
      </c>
      <c r="AU5" s="20">
        <f t="shared" si="21"/>
        <v>5.7261960694931009</v>
      </c>
      <c r="AV5" s="73">
        <f t="shared" ref="AV5:AV13" si="62">AT5*1000000000/(AM5*1000000000000)*100</f>
        <v>60.75247524752475</v>
      </c>
      <c r="AW5" s="53">
        <v>306765</v>
      </c>
      <c r="AX5" s="53">
        <v>19705</v>
      </c>
      <c r="AY5" s="53">
        <f>AW5*1000000/(P5*1000)</f>
        <v>33474.189033988143</v>
      </c>
      <c r="AZ5" s="53">
        <f t="shared" ref="AZ5:AZ13" si="63">Q5*BB5/1000</f>
        <v>195135.57224077429</v>
      </c>
      <c r="BA5" s="22">
        <f t="shared" si="22"/>
        <v>12.181449838237324</v>
      </c>
      <c r="BB5" s="53">
        <v>20226.488349528601</v>
      </c>
      <c r="BC5" s="22">
        <f t="shared" si="23"/>
        <v>9.9147483288126139</v>
      </c>
      <c r="BD5" s="22">
        <v>0.52148834952860135</v>
      </c>
      <c r="BE5" s="22">
        <f t="shared" ref="BE5:BE13" si="64">(BB5-AX5)/1000</f>
        <v>0.52148834952860124</v>
      </c>
      <c r="BF5" s="54">
        <v>2.6464772876356317</v>
      </c>
      <c r="BG5" s="54">
        <f>BE5*1000/AX5*100</f>
        <v>2.6464772876356317</v>
      </c>
      <c r="BH5" s="21">
        <v>16.129000000000001</v>
      </c>
      <c r="BI5" s="20">
        <f t="shared" si="24"/>
        <v>2.7806188939350456</v>
      </c>
      <c r="BJ5" s="22">
        <v>0.43700000000000006</v>
      </c>
      <c r="BK5" s="22">
        <v>0.76500000000000001</v>
      </c>
      <c r="BL5" s="23">
        <v>76.900000000000006</v>
      </c>
      <c r="BM5" s="24">
        <v>-6</v>
      </c>
      <c r="BN5" s="77">
        <v>0.63500000000000001</v>
      </c>
      <c r="BO5" s="77">
        <f t="shared" si="25"/>
        <v>0.13</v>
      </c>
      <c r="BP5" s="113">
        <v>1.5</v>
      </c>
      <c r="BQ5" s="77">
        <f t="shared" si="26"/>
        <v>0.40546510810816438</v>
      </c>
      <c r="BS5" s="9">
        <v>22405</v>
      </c>
      <c r="BT5" s="19">
        <v>80.5</v>
      </c>
      <c r="BU5" s="18">
        <v>50700.59</v>
      </c>
      <c r="BV5" s="60">
        <f t="shared" si="27"/>
        <v>10.833692826592433</v>
      </c>
      <c r="BW5" s="61">
        <f>BU5*1000000/(R5*1000)</f>
        <v>4992.1809767625045</v>
      </c>
      <c r="BX5" s="60">
        <f t="shared" si="28"/>
        <v>8.5156281627499997</v>
      </c>
      <c r="BY5" s="60">
        <f t="shared" si="29"/>
        <v>17.21804171675802</v>
      </c>
      <c r="BZ5" s="60">
        <f t="shared" si="30"/>
        <v>2.8459577710901875</v>
      </c>
      <c r="CA5" s="60">
        <f t="shared" si="31"/>
        <v>51.556426682936753</v>
      </c>
      <c r="CB5" s="60">
        <f t="shared" si="32"/>
        <v>3.942676871614593</v>
      </c>
      <c r="CD5" s="18" t="str">
        <f t="shared" si="33"/>
        <v/>
      </c>
      <c r="CE5" s="18" t="str">
        <f t="shared" si="34"/>
        <v/>
      </c>
      <c r="CF5" s="18" t="str">
        <f t="shared" si="35"/>
        <v/>
      </c>
      <c r="CG5" s="18" t="str">
        <f t="shared" si="36"/>
        <v/>
      </c>
      <c r="CH5" s="135" t="str">
        <f t="shared" si="37"/>
        <v/>
      </c>
      <c r="CJ5" s="9" t="str">
        <f t="shared" si="38"/>
        <v/>
      </c>
      <c r="CK5" s="135" t="str">
        <f t="shared" si="39"/>
        <v/>
      </c>
      <c r="CL5" s="61" t="str">
        <f t="shared" si="40"/>
        <v/>
      </c>
      <c r="CM5" s="135" t="str">
        <f t="shared" si="41"/>
        <v/>
      </c>
      <c r="CN5" s="61" t="str">
        <f t="shared" si="42"/>
        <v/>
      </c>
      <c r="CO5" s="113"/>
      <c r="CP5" s="129"/>
      <c r="CQ5" s="136"/>
      <c r="CR5" s="77" t="str">
        <f t="shared" si="43"/>
        <v/>
      </c>
      <c r="CS5" s="25">
        <v>2.5</v>
      </c>
      <c r="CT5" s="2">
        <f t="shared" si="44"/>
        <v>0.91629073187415511</v>
      </c>
      <c r="CU5" s="7">
        <f t="shared" si="45"/>
        <v>25390</v>
      </c>
      <c r="CV5" s="2">
        <f t="shared" si="46"/>
        <v>10.142110674698724</v>
      </c>
      <c r="CW5" s="14">
        <f t="shared" si="47"/>
        <v>253.9</v>
      </c>
      <c r="CX5" s="2">
        <f t="shared" si="48"/>
        <v>5.5369404887106324</v>
      </c>
      <c r="CY5" s="2">
        <f t="shared" si="49"/>
        <v>0.49481602743997505</v>
      </c>
      <c r="CZ5" s="13">
        <f t="shared" si="50"/>
        <v>86.225047714136295</v>
      </c>
      <c r="DA5" s="2">
        <f t="shared" si="51"/>
        <v>4.4569607121905257</v>
      </c>
      <c r="DB5" s="64">
        <v>2.06</v>
      </c>
      <c r="DC5" s="64">
        <v>0.68</v>
      </c>
      <c r="DD5" s="64">
        <v>3.32</v>
      </c>
      <c r="DE5" s="64">
        <v>0.44</v>
      </c>
      <c r="DF5" s="64">
        <v>1.64</v>
      </c>
      <c r="DG5" s="64">
        <v>0.81</v>
      </c>
      <c r="DH5" s="65">
        <v>26.866666666666664</v>
      </c>
      <c r="DI5" s="15">
        <v>0</v>
      </c>
      <c r="DJ5" s="67">
        <v>28.533333333333331</v>
      </c>
      <c r="DK5" s="15">
        <v>12.533333333333331</v>
      </c>
      <c r="DL5" s="15">
        <f t="shared" si="52"/>
        <v>12.533333333333331</v>
      </c>
      <c r="DM5" s="13">
        <v>8</v>
      </c>
      <c r="DN5" s="12">
        <v>4.13</v>
      </c>
      <c r="DR5" s="13">
        <f>AVERAGE(DM5:DQ5)</f>
        <v>6.0649999999999995</v>
      </c>
      <c r="DS5" s="16">
        <v>28</v>
      </c>
      <c r="DT5" s="16">
        <v>32</v>
      </c>
      <c r="DU5" s="16">
        <v>25</v>
      </c>
      <c r="DV5" s="17">
        <v>1450</v>
      </c>
      <c r="DW5" s="17">
        <v>9</v>
      </c>
      <c r="DX5" s="77">
        <f t="shared" si="53"/>
        <v>2.1972245773362196</v>
      </c>
      <c r="DY5" s="17">
        <v>8281000</v>
      </c>
      <c r="DZ5" s="17">
        <f t="shared" si="54"/>
        <v>8281</v>
      </c>
      <c r="EA5" s="129">
        <f t="shared" si="55"/>
        <v>9.0217190130336995</v>
      </c>
      <c r="EB5" s="17">
        <v>14566000</v>
      </c>
      <c r="EC5" s="17">
        <f t="shared" si="56"/>
        <v>14566</v>
      </c>
      <c r="ED5" s="126">
        <f t="shared" si="57"/>
        <v>9.5864453247778609</v>
      </c>
      <c r="EE5" s="123">
        <f t="shared" si="58"/>
        <v>0.56851572154332009</v>
      </c>
      <c r="EF5" s="123">
        <f t="shared" si="59"/>
        <v>1.7589663084168579</v>
      </c>
      <c r="EG5" s="77">
        <f t="shared" si="60"/>
        <v>0.56472631174416033</v>
      </c>
      <c r="EH5" s="113">
        <v>39</v>
      </c>
      <c r="EI5" s="77">
        <v>0.60799999999999998</v>
      </c>
      <c r="EJ5" s="77">
        <v>0.122</v>
      </c>
      <c r="EK5" s="77">
        <f t="shared" si="61"/>
        <v>-2.1037342342488805</v>
      </c>
      <c r="EL5" s="16">
        <v>0</v>
      </c>
    </row>
    <row r="6" spans="1:142" x14ac:dyDescent="0.3">
      <c r="A6" s="30">
        <f t="shared" si="0"/>
        <v>5</v>
      </c>
      <c r="B6" s="1" t="s">
        <v>4</v>
      </c>
      <c r="C6" s="1" t="s">
        <v>5</v>
      </c>
      <c r="D6" s="149" t="s">
        <v>1</v>
      </c>
      <c r="E6" s="16">
        <v>0</v>
      </c>
      <c r="F6" s="16">
        <v>1</v>
      </c>
      <c r="G6" s="16">
        <v>0</v>
      </c>
      <c r="H6" s="16">
        <v>0</v>
      </c>
      <c r="I6" s="16">
        <v>0</v>
      </c>
      <c r="J6" s="17">
        <v>132</v>
      </c>
      <c r="K6" s="17">
        <v>1930</v>
      </c>
      <c r="L6" s="2">
        <v>39.907499999999999</v>
      </c>
      <c r="M6" s="2">
        <f t="shared" si="1"/>
        <v>39.907499999999999</v>
      </c>
      <c r="N6" s="2">
        <v>116.39722999999999</v>
      </c>
      <c r="O6" s="3">
        <v>16938</v>
      </c>
      <c r="P6" s="3">
        <v>18038.725999999999</v>
      </c>
      <c r="Q6" s="3">
        <v>18812.324000000001</v>
      </c>
      <c r="R6" s="6">
        <v>19618</v>
      </c>
      <c r="S6" s="134">
        <f t="shared" si="2"/>
        <v>9.8842027911242614</v>
      </c>
      <c r="T6" s="6">
        <v>1433783.692</v>
      </c>
      <c r="U6" s="3">
        <f t="shared" si="3"/>
        <v>1433.783692</v>
      </c>
      <c r="V6" s="6">
        <f t="shared" si="4"/>
        <v>7.2680721673828224</v>
      </c>
      <c r="W6" s="4">
        <f t="shared" si="5"/>
        <v>1.3682677595973103</v>
      </c>
      <c r="X6" s="4">
        <v>3.4922277985393322</v>
      </c>
      <c r="Y6" s="11">
        <v>0.56000000000000005</v>
      </c>
      <c r="Z6" s="4">
        <f t="shared" si="6"/>
        <v>6.2361210688202355</v>
      </c>
      <c r="AA6" s="17">
        <v>455684</v>
      </c>
      <c r="AB6" s="126">
        <f t="shared" si="7"/>
        <v>4556.84</v>
      </c>
      <c r="AC6" s="14">
        <v>4556.84</v>
      </c>
      <c r="AD6" s="2">
        <f t="shared" si="8"/>
        <v>8.4243846798289628</v>
      </c>
      <c r="AE6" s="6">
        <f t="shared" si="9"/>
        <v>4.305176394167888</v>
      </c>
      <c r="AF6" s="6">
        <f t="shared" si="10"/>
        <v>1.4598181112952986</v>
      </c>
      <c r="AG6" s="5">
        <v>9596960</v>
      </c>
      <c r="AH6" s="7">
        <f t="shared" si="11"/>
        <v>9596.9599999999991</v>
      </c>
      <c r="AI6" s="2">
        <f t="shared" si="12"/>
        <v>4.7482119337790299E-2</v>
      </c>
      <c r="AJ6" s="8">
        <f t="shared" si="13"/>
        <v>149.39977784631802</v>
      </c>
      <c r="AK6" s="134">
        <f t="shared" si="14"/>
        <v>5.0066257857251752</v>
      </c>
      <c r="AL6" s="8">
        <f t="shared" si="15"/>
        <v>28.816484577349659</v>
      </c>
      <c r="AM6" s="20">
        <v>13.61</v>
      </c>
      <c r="AN6" s="53">
        <v>513000000000</v>
      </c>
      <c r="AO6" s="20">
        <f t="shared" si="16"/>
        <v>513</v>
      </c>
      <c r="AP6" s="20">
        <f t="shared" si="17"/>
        <v>6.2402758451707694</v>
      </c>
      <c r="AQ6" s="72">
        <f t="shared" si="18"/>
        <v>27269.358108014723</v>
      </c>
      <c r="AR6" s="72">
        <f t="shared" si="19"/>
        <v>10.213518937169303</v>
      </c>
      <c r="AS6" s="72">
        <f t="shared" si="20"/>
        <v>3.7692872887582665</v>
      </c>
      <c r="AT6" s="73">
        <v>506.1</v>
      </c>
      <c r="AU6" s="20">
        <f t="shared" si="21"/>
        <v>6.2267342782200323</v>
      </c>
      <c r="AV6" s="73">
        <f t="shared" si="62"/>
        <v>3.7185892725936807</v>
      </c>
      <c r="AW6" s="53">
        <v>506137</v>
      </c>
      <c r="AX6" s="53">
        <v>23390</v>
      </c>
      <c r="AY6" s="53">
        <f>AW6*1000000/(P6*1000)</f>
        <v>28058.356227596116</v>
      </c>
      <c r="AZ6" s="53">
        <f t="shared" si="63"/>
        <v>413813.78794603032</v>
      </c>
      <c r="BA6" s="22">
        <f t="shared" si="22"/>
        <v>12.933171364052706</v>
      </c>
      <c r="BB6" s="53">
        <v>21996.9519951937</v>
      </c>
      <c r="BC6" s="22">
        <f t="shared" si="23"/>
        <v>9.9986591770691007</v>
      </c>
      <c r="BD6" s="22">
        <v>1.6120519951936991</v>
      </c>
      <c r="BE6" s="22">
        <f t="shared" si="64"/>
        <v>-1.3930480048063001</v>
      </c>
      <c r="BF6" s="54">
        <v>7.9080691845125477</v>
      </c>
      <c r="BG6" s="54">
        <f>BE6*1000/AX6*100</f>
        <v>-5.9557417905356989</v>
      </c>
      <c r="BH6" s="21">
        <v>16.126999999999999</v>
      </c>
      <c r="BI6" s="20">
        <f t="shared" si="24"/>
        <v>2.7804948859983787</v>
      </c>
      <c r="BJ6" s="22">
        <v>0.51</v>
      </c>
      <c r="BK6" s="22">
        <v>0.75800000000000001</v>
      </c>
      <c r="BL6" s="23">
        <v>76.7</v>
      </c>
      <c r="BM6" s="24">
        <v>-13</v>
      </c>
      <c r="BN6" s="77">
        <v>0.63600000000000001</v>
      </c>
      <c r="BO6" s="77">
        <f t="shared" si="25"/>
        <v>0.122</v>
      </c>
      <c r="BP6" s="113">
        <v>1.7</v>
      </c>
      <c r="BQ6" s="77">
        <f t="shared" si="26"/>
        <v>0.53062825106217038</v>
      </c>
      <c r="BR6" s="113">
        <v>1.3</v>
      </c>
      <c r="BS6" s="9">
        <v>26417</v>
      </c>
      <c r="BT6" s="19">
        <v>96.9</v>
      </c>
      <c r="BU6" s="18">
        <v>80686</v>
      </c>
      <c r="BV6" s="60">
        <f t="shared" si="27"/>
        <v>11.298320357176074</v>
      </c>
      <c r="BW6" s="61">
        <f>BU6*1000000/(R6*1000)</f>
        <v>4112.8555408298498</v>
      </c>
      <c r="BX6" s="60">
        <f t="shared" si="28"/>
        <v>8.3218728450339494</v>
      </c>
      <c r="BY6" s="60">
        <f t="shared" si="29"/>
        <v>17.706568587003275</v>
      </c>
      <c r="BZ6" s="60">
        <f t="shared" si="30"/>
        <v>2.8739356773471112</v>
      </c>
      <c r="CA6" s="60">
        <f t="shared" si="31"/>
        <v>15.728265107212476</v>
      </c>
      <c r="CB6" s="60">
        <f t="shared" si="32"/>
        <v>2.7554594190112587</v>
      </c>
      <c r="CC6" s="18">
        <v>456189.24</v>
      </c>
      <c r="CD6" s="18">
        <f t="shared" si="33"/>
        <v>126719.24347087201</v>
      </c>
      <c r="CE6" s="18">
        <f t="shared" si="34"/>
        <v>11.749729236945774</v>
      </c>
      <c r="CF6" s="18">
        <f t="shared" si="35"/>
        <v>32.608214004135803</v>
      </c>
      <c r="CG6" s="18">
        <f t="shared" si="36"/>
        <v>7481.3580984102027</v>
      </c>
      <c r="CH6" s="135">
        <f t="shared" si="37"/>
        <v>8.9201696184463657</v>
      </c>
      <c r="CI6" s="9">
        <v>1399001</v>
      </c>
      <c r="CJ6" s="9">
        <f t="shared" si="38"/>
        <v>388611.41997780005</v>
      </c>
      <c r="CK6" s="135">
        <f t="shared" si="39"/>
        <v>12.870335202981579</v>
      </c>
      <c r="CL6" s="61">
        <f t="shared" si="40"/>
        <v>22943.170384803405</v>
      </c>
      <c r="CM6" s="135">
        <f t="shared" si="41"/>
        <v>10.040775584482171</v>
      </c>
      <c r="CN6" s="61">
        <f t="shared" si="42"/>
        <v>32.608214004135803</v>
      </c>
      <c r="CO6" s="113">
        <v>4.2</v>
      </c>
      <c r="CP6" s="129">
        <v>19919</v>
      </c>
      <c r="CQ6" s="136">
        <v>83.7</v>
      </c>
      <c r="CR6" s="77">
        <f t="shared" si="43"/>
        <v>1.4350845252893227</v>
      </c>
      <c r="CS6" s="25">
        <v>3.6</v>
      </c>
      <c r="CT6" s="2">
        <f t="shared" si="44"/>
        <v>1.2809338454620642</v>
      </c>
      <c r="CU6" s="7">
        <f t="shared" si="45"/>
        <v>70624.800000000003</v>
      </c>
      <c r="CV6" s="2">
        <f t="shared" si="46"/>
        <v>11.165136636586325</v>
      </c>
      <c r="CW6" s="14">
        <f t="shared" si="47"/>
        <v>706.24800000000005</v>
      </c>
      <c r="CX6" s="2">
        <f t="shared" si="48"/>
        <v>6.5599664505982336</v>
      </c>
      <c r="CY6" s="2">
        <f t="shared" si="49"/>
        <v>7.359080375452226E-2</v>
      </c>
      <c r="CZ6" s="13">
        <f t="shared" si="50"/>
        <v>154.98635019004396</v>
      </c>
      <c r="DA6" s="2">
        <f t="shared" si="51"/>
        <v>5.0433370497514085</v>
      </c>
      <c r="DB6" s="64">
        <v>0.63</v>
      </c>
      <c r="DC6" s="64">
        <v>1.49</v>
      </c>
      <c r="DD6" s="64">
        <v>1.54</v>
      </c>
      <c r="DE6" s="64">
        <v>1.1499999999999999</v>
      </c>
      <c r="DF6" s="64">
        <v>-7.0000000000000007E-2</v>
      </c>
      <c r="DG6" s="64">
        <v>1.86</v>
      </c>
      <c r="DH6" s="65">
        <v>-2.0666666666666669</v>
      </c>
      <c r="DI6" s="15">
        <v>18.066666666666666</v>
      </c>
      <c r="DJ6" s="67">
        <v>27.3</v>
      </c>
      <c r="DK6" s="15">
        <v>11.3</v>
      </c>
      <c r="DL6" s="15">
        <f t="shared" si="52"/>
        <v>29.366666666666667</v>
      </c>
      <c r="DM6" s="13">
        <v>10</v>
      </c>
      <c r="DP6" s="12">
        <v>3.39</v>
      </c>
      <c r="DR6" s="13">
        <f>AVERAGE(DM6:DQ6)</f>
        <v>6.6950000000000003</v>
      </c>
      <c r="DS6" s="16">
        <v>12</v>
      </c>
      <c r="DT6" s="16">
        <v>17</v>
      </c>
      <c r="DU6" s="16">
        <v>7</v>
      </c>
      <c r="DV6" s="17">
        <v>630</v>
      </c>
      <c r="DW6" s="17">
        <v>51</v>
      </c>
      <c r="DX6" s="77">
        <f t="shared" si="53"/>
        <v>3.9318256327243257</v>
      </c>
      <c r="DY6" s="17">
        <v>18590000</v>
      </c>
      <c r="DZ6" s="17">
        <f t="shared" si="54"/>
        <v>18590</v>
      </c>
      <c r="EA6" s="129">
        <f t="shared" si="55"/>
        <v>9.83037908071549</v>
      </c>
      <c r="EB6" s="17">
        <v>24900000</v>
      </c>
      <c r="EC6" s="17">
        <f t="shared" si="56"/>
        <v>24900</v>
      </c>
      <c r="ED6" s="126">
        <f t="shared" si="57"/>
        <v>10.122623082452799</v>
      </c>
      <c r="EE6" s="123">
        <f t="shared" si="58"/>
        <v>0.74658634538152613</v>
      </c>
      <c r="EF6" s="123">
        <f t="shared" si="59"/>
        <v>1.3394298009682626</v>
      </c>
      <c r="EG6" s="77">
        <f t="shared" si="60"/>
        <v>0.29224400173730936</v>
      </c>
      <c r="EH6" s="113">
        <v>38.4</v>
      </c>
      <c r="EI6" s="77">
        <v>0.61</v>
      </c>
      <c r="EJ6" s="77">
        <v>8.1000000000000003E-2</v>
      </c>
      <c r="EK6" s="77">
        <f t="shared" si="61"/>
        <v>-2.5133061243096981</v>
      </c>
      <c r="EL6" s="16">
        <v>0</v>
      </c>
    </row>
    <row r="7" spans="1:142" s="30" customFormat="1" x14ac:dyDescent="0.3">
      <c r="A7" s="30">
        <f t="shared" si="0"/>
        <v>6</v>
      </c>
      <c r="B7" s="1" t="s">
        <v>177</v>
      </c>
      <c r="C7" s="1" t="s">
        <v>0</v>
      </c>
      <c r="D7" s="149" t="s">
        <v>1</v>
      </c>
      <c r="E7" s="16">
        <v>0</v>
      </c>
      <c r="F7" s="16">
        <v>1</v>
      </c>
      <c r="G7" s="16">
        <v>0</v>
      </c>
      <c r="H7" s="16">
        <v>0</v>
      </c>
      <c r="I7" s="16">
        <v>0</v>
      </c>
      <c r="J7" s="17"/>
      <c r="K7" s="17">
        <v>396</v>
      </c>
      <c r="L7" s="2">
        <v>12.97194</v>
      </c>
      <c r="M7" s="2">
        <f t="shared" si="1"/>
        <v>12.97194</v>
      </c>
      <c r="N7" s="2">
        <v>77.593689999999995</v>
      </c>
      <c r="O7" s="3">
        <v>8636</v>
      </c>
      <c r="P7" s="3">
        <v>9741.74</v>
      </c>
      <c r="Q7" s="3">
        <v>10556.789000000001</v>
      </c>
      <c r="R7" s="6">
        <v>11440</v>
      </c>
      <c r="S7" s="134">
        <f t="shared" si="2"/>
        <v>9.3448712649337882</v>
      </c>
      <c r="T7" s="6">
        <v>1366417.7560000001</v>
      </c>
      <c r="U7" s="3">
        <f t="shared" si="3"/>
        <v>1366.4177560000001</v>
      </c>
      <c r="V7" s="6">
        <f t="shared" si="4"/>
        <v>7.2199478176805538</v>
      </c>
      <c r="W7" s="4">
        <f t="shared" si="5"/>
        <v>0.83722565443594821</v>
      </c>
      <c r="X7" s="4">
        <v>4.017474239709057</v>
      </c>
      <c r="Y7" s="11">
        <v>1.33</v>
      </c>
      <c r="Z7" s="4">
        <f t="shared" si="6"/>
        <v>3.0206573230895164</v>
      </c>
      <c r="AA7" s="142">
        <v>74100</v>
      </c>
      <c r="AB7" s="126">
        <f t="shared" si="7"/>
        <v>741</v>
      </c>
      <c r="AC7" s="14">
        <v>741</v>
      </c>
      <c r="AD7" s="2">
        <f t="shared" si="8"/>
        <v>6.6080006252960866</v>
      </c>
      <c r="AE7" s="6">
        <f t="shared" si="9"/>
        <v>15.43859649122807</v>
      </c>
      <c r="AF7" s="6">
        <f t="shared" si="10"/>
        <v>2.7368706396377021</v>
      </c>
      <c r="AG7" s="5">
        <v>3287263</v>
      </c>
      <c r="AH7" s="7">
        <f t="shared" si="11"/>
        <v>3287.2629999999999</v>
      </c>
      <c r="AI7" s="2">
        <f t="shared" si="12"/>
        <v>2.2541549002924318E-2</v>
      </c>
      <c r="AJ7" s="8">
        <f t="shared" si="13"/>
        <v>415.6703482502009</v>
      </c>
      <c r="AK7" s="134">
        <f t="shared" si="14"/>
        <v>6.0298925140301236</v>
      </c>
      <c r="AL7" s="8">
        <f t="shared" si="15"/>
        <v>37.141442867450451</v>
      </c>
      <c r="AM7" s="20">
        <v>2.7189999999999999</v>
      </c>
      <c r="AN7" s="53">
        <v>85000000000</v>
      </c>
      <c r="AO7" s="20">
        <f t="shared" si="16"/>
        <v>85</v>
      </c>
      <c r="AP7" s="20">
        <f t="shared" si="17"/>
        <v>4.4426512564903167</v>
      </c>
      <c r="AQ7" s="72">
        <f t="shared" si="18"/>
        <v>8051.6907176983459</v>
      </c>
      <c r="AR7" s="72">
        <f t="shared" si="19"/>
        <v>8.9936373754032903</v>
      </c>
      <c r="AS7" s="72">
        <f t="shared" si="20"/>
        <v>3.1261493196027952</v>
      </c>
      <c r="AT7" s="73">
        <v>45.1</v>
      </c>
      <c r="AU7" s="20">
        <f t="shared" si="21"/>
        <v>3.8088822465086327</v>
      </c>
      <c r="AV7" s="73">
        <f t="shared" si="62"/>
        <v>1.6586980507539535</v>
      </c>
      <c r="AW7" s="53">
        <v>45313</v>
      </c>
      <c r="AX7" s="53">
        <v>5051</v>
      </c>
      <c r="AY7" s="53">
        <f>AW7*1000000/(P7*1000)</f>
        <v>4651.4277736831409</v>
      </c>
      <c r="AZ7" s="53">
        <f t="shared" si="63"/>
        <v>58716.006019436238</v>
      </c>
      <c r="BA7" s="22">
        <f t="shared" si="22"/>
        <v>10.980467643594936</v>
      </c>
      <c r="BB7" s="53">
        <v>5561.9190664354701</v>
      </c>
      <c r="BC7" s="22">
        <f t="shared" si="23"/>
        <v>8.6236984835257733</v>
      </c>
      <c r="BD7" s="22">
        <v>0.51091906643546992</v>
      </c>
      <c r="BE7" s="22">
        <f t="shared" si="64"/>
        <v>0.51091906643547014</v>
      </c>
      <c r="BF7" s="54">
        <v>10.115206225212237</v>
      </c>
      <c r="BG7" s="54">
        <f>BE7*1000/AX7*100</f>
        <v>10.115206225212239</v>
      </c>
      <c r="BH7" s="21">
        <v>6.8289999999999997</v>
      </c>
      <c r="BI7" s="20">
        <f t="shared" si="24"/>
        <v>1.9211782499789523</v>
      </c>
      <c r="BJ7" s="22">
        <v>0.47899999999999998</v>
      </c>
      <c r="BK7" s="22">
        <v>0.64700000000000002</v>
      </c>
      <c r="BL7" s="23">
        <v>69.400000000000006</v>
      </c>
      <c r="BM7" s="24">
        <v>-5</v>
      </c>
      <c r="BN7" s="77">
        <v>0.53800000000000003</v>
      </c>
      <c r="BO7" s="77">
        <f t="shared" si="25"/>
        <v>0.10899999999999999</v>
      </c>
      <c r="BP7" s="113">
        <v>1.5</v>
      </c>
      <c r="BQ7" s="77">
        <f t="shared" si="26"/>
        <v>0.40546510810816438</v>
      </c>
      <c r="BR7" s="113"/>
      <c r="BS7" s="9">
        <v>6839</v>
      </c>
      <c r="BT7" s="19">
        <v>25</v>
      </c>
      <c r="BU7" s="18"/>
      <c r="BV7" s="60" t="str">
        <f t="shared" si="27"/>
        <v/>
      </c>
      <c r="BW7" s="61"/>
      <c r="BX7" s="60" t="str">
        <f t="shared" si="28"/>
        <v/>
      </c>
      <c r="BY7" s="60" t="str">
        <f t="shared" si="29"/>
        <v/>
      </c>
      <c r="BZ7" s="60" t="str">
        <f t="shared" si="30"/>
        <v/>
      </c>
      <c r="CA7" s="60" t="str">
        <f t="shared" si="31"/>
        <v/>
      </c>
      <c r="CB7" s="60" t="str">
        <f t="shared" si="32"/>
        <v/>
      </c>
      <c r="CC7" s="18"/>
      <c r="CD7" s="18" t="str">
        <f t="shared" si="33"/>
        <v/>
      </c>
      <c r="CE7" s="18" t="str">
        <f t="shared" si="34"/>
        <v/>
      </c>
      <c r="CF7" s="18" t="str">
        <f t="shared" si="35"/>
        <v/>
      </c>
      <c r="CG7" s="18" t="str">
        <f t="shared" si="36"/>
        <v/>
      </c>
      <c r="CH7" s="135" t="str">
        <f t="shared" si="37"/>
        <v/>
      </c>
      <c r="CI7" s="9"/>
      <c r="CJ7" s="9" t="str">
        <f t="shared" si="38"/>
        <v/>
      </c>
      <c r="CK7" s="135" t="str">
        <f t="shared" si="39"/>
        <v/>
      </c>
      <c r="CL7" s="61" t="str">
        <f t="shared" si="40"/>
        <v/>
      </c>
      <c r="CM7" s="135" t="str">
        <f t="shared" si="41"/>
        <v/>
      </c>
      <c r="CN7" s="61" t="str">
        <f t="shared" si="42"/>
        <v/>
      </c>
      <c r="CO7" s="113">
        <v>2</v>
      </c>
      <c r="CP7" s="129">
        <v>10591</v>
      </c>
      <c r="CQ7" s="136">
        <v>21.6</v>
      </c>
      <c r="CR7" s="77">
        <f t="shared" si="43"/>
        <v>0.69314718055994529</v>
      </c>
      <c r="CS7" s="25">
        <v>1.2</v>
      </c>
      <c r="CT7" s="2">
        <f t="shared" si="44"/>
        <v>0.18232155679395459</v>
      </c>
      <c r="CU7" s="7">
        <f t="shared" si="45"/>
        <v>13728</v>
      </c>
      <c r="CV7" s="2">
        <f t="shared" si="46"/>
        <v>9.5271928217277431</v>
      </c>
      <c r="CW7" s="14">
        <f t="shared" si="47"/>
        <v>137.28</v>
      </c>
      <c r="CX7" s="2">
        <f t="shared" si="48"/>
        <v>4.9220226357396522</v>
      </c>
      <c r="CY7" s="2">
        <f t="shared" si="49"/>
        <v>4.1761185521207153E-2</v>
      </c>
      <c r="CZ7" s="13">
        <f t="shared" si="50"/>
        <v>185.26315789473685</v>
      </c>
      <c r="DA7" s="2">
        <f t="shared" si="51"/>
        <v>5.2217772894257024</v>
      </c>
      <c r="DB7" s="64">
        <v>0.5</v>
      </c>
      <c r="DC7" s="64">
        <v>1.3</v>
      </c>
      <c r="DD7" s="64">
        <v>0.8</v>
      </c>
      <c r="DE7" s="64">
        <v>0.7</v>
      </c>
      <c r="DF7" s="64">
        <v>0.08</v>
      </c>
      <c r="DG7" s="64">
        <v>1.6</v>
      </c>
      <c r="DH7" s="65">
        <v>24.133333333333301</v>
      </c>
      <c r="DI7" s="15">
        <v>0</v>
      </c>
      <c r="DJ7" s="67">
        <v>25.833333333333332</v>
      </c>
      <c r="DK7" s="15">
        <v>9.8333333333333321</v>
      </c>
      <c r="DL7" s="15">
        <f t="shared" si="52"/>
        <v>9.8333333333333321</v>
      </c>
      <c r="DM7" s="13"/>
      <c r="DN7" s="12"/>
      <c r="DO7" s="12"/>
      <c r="DP7" s="12"/>
      <c r="DQ7" s="12"/>
      <c r="DR7" s="13">
        <f>AVERAGE(1,2,2,2.5)</f>
        <v>1.875</v>
      </c>
      <c r="DS7" s="16">
        <v>23.9</v>
      </c>
      <c r="DT7" s="16">
        <v>29.3</v>
      </c>
      <c r="DU7" s="16">
        <v>18.5</v>
      </c>
      <c r="DV7" s="17">
        <v>900</v>
      </c>
      <c r="DW7" s="17">
        <v>920</v>
      </c>
      <c r="DX7" s="77">
        <f t="shared" si="53"/>
        <v>6.8243736700430864</v>
      </c>
      <c r="DY7" s="17">
        <v>8444000</v>
      </c>
      <c r="DZ7" s="17">
        <f t="shared" si="54"/>
        <v>8444</v>
      </c>
      <c r="EA7" s="129">
        <f t="shared" si="55"/>
        <v>9.041211408968211</v>
      </c>
      <c r="EB7" s="17">
        <v>8729000</v>
      </c>
      <c r="EC7" s="17">
        <f t="shared" si="56"/>
        <v>8729</v>
      </c>
      <c r="ED7" s="126">
        <f t="shared" si="57"/>
        <v>9.07440609473535</v>
      </c>
      <c r="EE7" s="123">
        <f t="shared" si="58"/>
        <v>0.96735021193722071</v>
      </c>
      <c r="EF7" s="123">
        <f t="shared" si="59"/>
        <v>1.0337517764092847</v>
      </c>
      <c r="EG7" s="77">
        <f t="shared" si="60"/>
        <v>3.3194685767138556E-2</v>
      </c>
      <c r="EH7" s="113">
        <v>28.7</v>
      </c>
      <c r="EI7" s="77">
        <v>0.47299999999999998</v>
      </c>
      <c r="EJ7" s="77">
        <v>8.2000000000000003E-2</v>
      </c>
      <c r="EK7" s="77">
        <f t="shared" si="61"/>
        <v>-2.5010360317178839</v>
      </c>
      <c r="EL7" s="16">
        <v>0</v>
      </c>
    </row>
    <row r="8" spans="1:142" x14ac:dyDescent="0.3">
      <c r="A8" s="30">
        <f t="shared" si="0"/>
        <v>7</v>
      </c>
      <c r="B8" s="1" t="s">
        <v>61</v>
      </c>
      <c r="C8" s="1" t="s">
        <v>0</v>
      </c>
      <c r="D8" s="149" t="s">
        <v>1</v>
      </c>
      <c r="E8" s="16">
        <v>0</v>
      </c>
      <c r="F8" s="16">
        <v>1</v>
      </c>
      <c r="G8" s="16">
        <v>0</v>
      </c>
      <c r="H8" s="16">
        <v>0</v>
      </c>
      <c r="I8" s="16">
        <v>0</v>
      </c>
      <c r="K8" s="17">
        <v>120</v>
      </c>
      <c r="L8" s="2">
        <v>13.053091</v>
      </c>
      <c r="M8" s="2">
        <f t="shared" si="1"/>
        <v>13.053091</v>
      </c>
      <c r="N8" s="2">
        <v>80.248750000000001</v>
      </c>
      <c r="O8" s="3">
        <v>8728</v>
      </c>
      <c r="P8" s="3">
        <v>9430.6630000000005</v>
      </c>
      <c r="Q8" s="3">
        <v>9929.9189999999999</v>
      </c>
      <c r="R8" s="6">
        <v>10456</v>
      </c>
      <c r="S8" s="134">
        <f t="shared" si="2"/>
        <v>9.2549312553040579</v>
      </c>
      <c r="T8" s="6">
        <v>1366417.7560000001</v>
      </c>
      <c r="U8" s="3">
        <f t="shared" si="3"/>
        <v>1366.4177560000001</v>
      </c>
      <c r="V8" s="6">
        <f t="shared" si="4"/>
        <v>7.2199478176805538</v>
      </c>
      <c r="W8" s="4">
        <f t="shared" si="5"/>
        <v>0.76521253870474437</v>
      </c>
      <c r="X8" s="4">
        <v>2.5792960658623487</v>
      </c>
      <c r="Y8" s="11">
        <v>1.33</v>
      </c>
      <c r="Z8" s="4">
        <f t="shared" si="6"/>
        <v>1.9393203502724425</v>
      </c>
      <c r="AA8" s="142">
        <v>118900</v>
      </c>
      <c r="AB8" s="126">
        <f t="shared" si="7"/>
        <v>1189</v>
      </c>
      <c r="AC8" s="14">
        <v>1189</v>
      </c>
      <c r="AD8" s="2">
        <f t="shared" si="8"/>
        <v>7.0808678966907816</v>
      </c>
      <c r="AE8" s="6">
        <f t="shared" si="9"/>
        <v>8.7939444911690501</v>
      </c>
      <c r="AF8" s="6">
        <f t="shared" si="10"/>
        <v>2.1740633586132763</v>
      </c>
      <c r="AG8" s="5">
        <v>3287263</v>
      </c>
      <c r="AH8" s="7">
        <f t="shared" si="11"/>
        <v>3287.2629999999999</v>
      </c>
      <c r="AI8" s="2">
        <f t="shared" si="12"/>
        <v>3.616990791427397E-2</v>
      </c>
      <c r="AJ8" s="8">
        <f t="shared" si="13"/>
        <v>415.6703482502009</v>
      </c>
      <c r="AK8" s="134">
        <f t="shared" si="14"/>
        <v>6.0298925140301236</v>
      </c>
      <c r="AL8" s="8">
        <f t="shared" si="15"/>
        <v>21.156054378638974</v>
      </c>
      <c r="AM8" s="20">
        <v>2.7189999999999999</v>
      </c>
      <c r="AN8" s="53">
        <v>66000000000</v>
      </c>
      <c r="AO8" s="20">
        <f t="shared" si="16"/>
        <v>66</v>
      </c>
      <c r="AP8" s="20">
        <f t="shared" si="17"/>
        <v>4.1896547420264252</v>
      </c>
      <c r="AQ8" s="72">
        <f t="shared" si="18"/>
        <v>6646.5798965731747</v>
      </c>
      <c r="AR8" s="72">
        <f t="shared" si="19"/>
        <v>8.8018577000844491</v>
      </c>
      <c r="AS8" s="72">
        <f t="shared" si="20"/>
        <v>2.4273630011033465</v>
      </c>
      <c r="AT8" s="73">
        <v>78.599999999999994</v>
      </c>
      <c r="AU8" s="20">
        <f t="shared" si="21"/>
        <v>4.3643716994351607</v>
      </c>
      <c r="AV8" s="73">
        <f t="shared" si="62"/>
        <v>2.8907686649503495</v>
      </c>
      <c r="AW8" s="53">
        <v>58625</v>
      </c>
      <c r="AX8" s="53">
        <v>6469</v>
      </c>
      <c r="AY8" s="53">
        <f>AW8*1000000/(P8*1000)</f>
        <v>6216.4240202412066</v>
      </c>
      <c r="AZ8" s="53">
        <f t="shared" si="63"/>
        <v>66222.629810999992</v>
      </c>
      <c r="BA8" s="22">
        <f t="shared" si="22"/>
        <v>11.10077752355642</v>
      </c>
      <c r="BB8" s="53">
        <v>6669</v>
      </c>
      <c r="BC8" s="22">
        <f t="shared" si="23"/>
        <v>8.8052252026323057</v>
      </c>
      <c r="BD8" s="22">
        <v>0.2</v>
      </c>
      <c r="BE8" s="22">
        <f t="shared" si="64"/>
        <v>0.2</v>
      </c>
      <c r="BF8" s="54">
        <v>3.0916679548616477</v>
      </c>
      <c r="BG8" s="54">
        <f>BE8*1000/AX8*100</f>
        <v>3.0916679548616477</v>
      </c>
      <c r="BH8" s="21">
        <v>6.8289999999999997</v>
      </c>
      <c r="BI8" s="20">
        <f t="shared" si="24"/>
        <v>1.9211782499789523</v>
      </c>
      <c r="BJ8" s="22">
        <v>0.47899999999999998</v>
      </c>
      <c r="BK8" s="22">
        <v>0.64700000000000002</v>
      </c>
      <c r="BL8" s="23">
        <v>69.400000000000006</v>
      </c>
      <c r="BM8" s="24">
        <v>-5</v>
      </c>
      <c r="BN8" s="77">
        <v>0.53800000000000003</v>
      </c>
      <c r="BO8" s="77">
        <f t="shared" si="25"/>
        <v>0.10899999999999999</v>
      </c>
      <c r="BP8" s="113">
        <v>1.5</v>
      </c>
      <c r="BQ8" s="77">
        <f t="shared" si="26"/>
        <v>0.40546510810816438</v>
      </c>
      <c r="BS8" s="9">
        <v>6839</v>
      </c>
      <c r="BT8" s="19">
        <v>25</v>
      </c>
      <c r="BV8" s="60" t="str">
        <f t="shared" si="27"/>
        <v/>
      </c>
      <c r="BW8" s="61"/>
      <c r="BX8" s="60" t="str">
        <f t="shared" si="28"/>
        <v/>
      </c>
      <c r="BY8" s="60" t="str">
        <f t="shared" si="29"/>
        <v/>
      </c>
      <c r="BZ8" s="60" t="str">
        <f t="shared" si="30"/>
        <v/>
      </c>
      <c r="CA8" s="60" t="str">
        <f t="shared" si="31"/>
        <v/>
      </c>
      <c r="CB8" s="60" t="str">
        <f t="shared" si="32"/>
        <v/>
      </c>
      <c r="CD8" s="18" t="str">
        <f t="shared" si="33"/>
        <v/>
      </c>
      <c r="CE8" s="18" t="str">
        <f t="shared" si="34"/>
        <v/>
      </c>
      <c r="CF8" s="18" t="str">
        <f t="shared" si="35"/>
        <v/>
      </c>
      <c r="CG8" s="18" t="str">
        <f t="shared" si="36"/>
        <v/>
      </c>
      <c r="CH8" s="135" t="str">
        <f t="shared" si="37"/>
        <v/>
      </c>
      <c r="CJ8" s="9" t="str">
        <f t="shared" si="38"/>
        <v/>
      </c>
      <c r="CK8" s="135" t="str">
        <f t="shared" si="39"/>
        <v/>
      </c>
      <c r="CL8" s="61" t="str">
        <f t="shared" si="40"/>
        <v/>
      </c>
      <c r="CM8" s="135" t="str">
        <f t="shared" si="41"/>
        <v/>
      </c>
      <c r="CN8" s="61" t="str">
        <f t="shared" si="42"/>
        <v/>
      </c>
      <c r="CO8" s="113">
        <v>2.2999999999999998</v>
      </c>
      <c r="CP8" s="129">
        <v>9483</v>
      </c>
      <c r="CQ8" s="136">
        <v>21.8</v>
      </c>
      <c r="CR8" s="77">
        <f t="shared" si="43"/>
        <v>0.83290912293510388</v>
      </c>
      <c r="CS8" s="25">
        <v>1.2</v>
      </c>
      <c r="CT8" s="2">
        <f t="shared" si="44"/>
        <v>0.18232155679395459</v>
      </c>
      <c r="CU8" s="7">
        <f t="shared" si="45"/>
        <v>12547.199999999999</v>
      </c>
      <c r="CV8" s="2">
        <f t="shared" si="46"/>
        <v>9.4372528120980128</v>
      </c>
      <c r="CW8" s="14">
        <f t="shared" si="47"/>
        <v>125.47199999999999</v>
      </c>
      <c r="CX8" s="2">
        <f t="shared" si="48"/>
        <v>4.832082626109921</v>
      </c>
      <c r="CY8" s="2">
        <f t="shared" si="49"/>
        <v>3.816913949385857E-2</v>
      </c>
      <c r="CZ8" s="13">
        <f t="shared" si="50"/>
        <v>105.5273338940286</v>
      </c>
      <c r="DA8" s="2">
        <f t="shared" si="51"/>
        <v>4.6589700084012762</v>
      </c>
      <c r="DB8" s="64">
        <v>0.91</v>
      </c>
      <c r="DC8" s="64">
        <v>1.04</v>
      </c>
      <c r="DD8" s="64">
        <v>0.78</v>
      </c>
      <c r="DE8" s="64">
        <v>0.68</v>
      </c>
      <c r="DF8" s="64">
        <v>1.17</v>
      </c>
      <c r="DG8" s="64">
        <v>1.33</v>
      </c>
      <c r="DH8" s="65">
        <v>25.666666666666668</v>
      </c>
      <c r="DI8" s="15">
        <v>0</v>
      </c>
      <c r="DJ8" s="67">
        <v>32.166666666666664</v>
      </c>
      <c r="DK8" s="15">
        <v>16.166666666666664</v>
      </c>
      <c r="DL8" s="15">
        <f t="shared" si="52"/>
        <v>16.166666666666664</v>
      </c>
      <c r="DM8" s="13">
        <v>3.4</v>
      </c>
      <c r="DR8" s="13">
        <f t="shared" ref="DR8:DR20" si="65">AVERAGE(DM8:DQ8)</f>
        <v>3.4</v>
      </c>
      <c r="DS8" s="16">
        <v>28.5</v>
      </c>
      <c r="DT8" s="16">
        <v>32.9</v>
      </c>
      <c r="DU8" s="16">
        <v>24.2</v>
      </c>
      <c r="DV8" s="17">
        <v>1260</v>
      </c>
      <c r="DW8" s="17">
        <v>6</v>
      </c>
      <c r="DX8" s="77">
        <f t="shared" si="53"/>
        <v>1.791759469228055</v>
      </c>
      <c r="DY8" s="17">
        <v>7088000</v>
      </c>
      <c r="DZ8" s="17">
        <f t="shared" si="54"/>
        <v>7088</v>
      </c>
      <c r="EA8" s="129">
        <f t="shared" si="55"/>
        <v>8.8661584922849173</v>
      </c>
      <c r="EB8" s="17">
        <v>8653000</v>
      </c>
      <c r="EC8" s="17">
        <f t="shared" si="56"/>
        <v>8653</v>
      </c>
      <c r="ED8" s="126">
        <f t="shared" si="57"/>
        <v>9.0656613606067395</v>
      </c>
      <c r="EE8" s="123">
        <f t="shared" si="58"/>
        <v>0.81913787125852311</v>
      </c>
      <c r="EF8" s="123">
        <f t="shared" si="59"/>
        <v>1.220795711060948</v>
      </c>
      <c r="EG8" s="77">
        <f t="shared" si="60"/>
        <v>0.19950286832182185</v>
      </c>
      <c r="EH8" s="113">
        <v>28.7</v>
      </c>
      <c r="EI8" s="77">
        <v>0.47299999999999998</v>
      </c>
      <c r="EJ8" s="77">
        <v>8.2000000000000003E-2</v>
      </c>
      <c r="EK8" s="77">
        <f t="shared" si="61"/>
        <v>-2.5010360317178839</v>
      </c>
      <c r="EL8" s="16">
        <v>0</v>
      </c>
    </row>
    <row r="9" spans="1:142" x14ac:dyDescent="0.3">
      <c r="A9" s="30">
        <f t="shared" si="0"/>
        <v>8</v>
      </c>
      <c r="B9" s="1" t="s">
        <v>14</v>
      </c>
      <c r="C9" s="1" t="s">
        <v>5</v>
      </c>
      <c r="D9" s="149" t="s">
        <v>1</v>
      </c>
      <c r="E9" s="16">
        <v>0</v>
      </c>
      <c r="F9" s="16">
        <v>1</v>
      </c>
      <c r="G9" s="16">
        <v>0</v>
      </c>
      <c r="H9" s="16">
        <v>0</v>
      </c>
      <c r="I9" s="16">
        <v>0</v>
      </c>
      <c r="J9" s="17">
        <v>163</v>
      </c>
      <c r="K9" s="17">
        <v>1838</v>
      </c>
      <c r="L9" s="2">
        <v>29.56278</v>
      </c>
      <c r="M9" s="2">
        <f t="shared" si="1"/>
        <v>29.56278</v>
      </c>
      <c r="N9" s="2">
        <v>106.55278</v>
      </c>
      <c r="O9" s="3">
        <v>11640</v>
      </c>
      <c r="P9" s="3">
        <v>12916.329</v>
      </c>
      <c r="Q9" s="3">
        <v>13844.44</v>
      </c>
      <c r="R9" s="6">
        <v>29914</v>
      </c>
      <c r="S9" s="134">
        <f t="shared" si="2"/>
        <v>10.306081877219272</v>
      </c>
      <c r="T9" s="6">
        <v>1433783.692</v>
      </c>
      <c r="U9" s="3">
        <f t="shared" si="3"/>
        <v>1433.783692</v>
      </c>
      <c r="V9" s="6">
        <f t="shared" si="4"/>
        <v>7.2680721673828224</v>
      </c>
      <c r="W9" s="4">
        <f t="shared" si="5"/>
        <v>2.0863677113158294</v>
      </c>
      <c r="X9" s="4">
        <v>3.4671811904010168</v>
      </c>
      <c r="Y9" s="11">
        <v>0.56000000000000005</v>
      </c>
      <c r="Z9" s="4">
        <f t="shared" si="6"/>
        <v>6.1913949828589576</v>
      </c>
      <c r="AA9" s="143">
        <v>152900</v>
      </c>
      <c r="AB9" s="144">
        <f t="shared" si="7"/>
        <v>1529</v>
      </c>
      <c r="AC9" s="147">
        <v>82403</v>
      </c>
      <c r="AD9" s="2">
        <f t="shared" si="8"/>
        <v>11.319377123001807</v>
      </c>
      <c r="AE9" s="6">
        <f t="shared" si="9"/>
        <v>0.36302076380714293</v>
      </c>
      <c r="AF9" s="6">
        <f t="shared" si="10"/>
        <v>-1.0132952457825348</v>
      </c>
      <c r="AG9" s="5">
        <v>9596960</v>
      </c>
      <c r="AH9" s="7">
        <f t="shared" si="11"/>
        <v>9596.9599999999991</v>
      </c>
      <c r="AI9" s="2">
        <f t="shared" si="12"/>
        <v>0.85863648488688082</v>
      </c>
      <c r="AJ9" s="8">
        <f t="shared" si="13"/>
        <v>149.39977784631802</v>
      </c>
      <c r="AK9" s="134">
        <f t="shared" si="14"/>
        <v>5.0066257857251752</v>
      </c>
      <c r="AL9" s="8">
        <f t="shared" si="15"/>
        <v>2.4298614699452155</v>
      </c>
      <c r="AM9" s="20">
        <v>13.61</v>
      </c>
      <c r="AN9" s="53">
        <v>342000000000</v>
      </c>
      <c r="AO9" s="20">
        <f t="shared" si="16"/>
        <v>342</v>
      </c>
      <c r="AP9" s="20">
        <f t="shared" si="17"/>
        <v>5.8348107370626048</v>
      </c>
      <c r="AQ9" s="72">
        <f t="shared" si="18"/>
        <v>24703.057689585134</v>
      </c>
      <c r="AR9" s="72">
        <f t="shared" si="19"/>
        <v>10.114682308054947</v>
      </c>
      <c r="AS9" s="72">
        <f t="shared" si="20"/>
        <v>2.5128581925055107</v>
      </c>
      <c r="AT9" s="73">
        <v>315.60000000000002</v>
      </c>
      <c r="AU9" s="20">
        <f t="shared" si="21"/>
        <v>5.7544755889717196</v>
      </c>
      <c r="AV9" s="73">
        <f t="shared" si="62"/>
        <v>2.3188831741366642</v>
      </c>
      <c r="AW9" s="53">
        <v>315581</v>
      </c>
      <c r="AX9" s="53">
        <v>10516</v>
      </c>
      <c r="AY9" s="53">
        <f>AW9*1000000/(P9*1000)</f>
        <v>24432.71613784381</v>
      </c>
      <c r="AZ9" s="53">
        <f t="shared" si="63"/>
        <v>163585.90304</v>
      </c>
      <c r="BA9" s="22">
        <f t="shared" si="22"/>
        <v>12.005093532201011</v>
      </c>
      <c r="BB9" s="53">
        <v>11816</v>
      </c>
      <c r="BC9" s="22">
        <f t="shared" si="23"/>
        <v>9.3772098242112154</v>
      </c>
      <c r="BD9" s="22">
        <v>1.3</v>
      </c>
      <c r="BE9" s="22">
        <f t="shared" si="64"/>
        <v>1.3</v>
      </c>
      <c r="BF9" s="54">
        <v>12.362114872575123</v>
      </c>
      <c r="BG9" s="54">
        <f>BE9*1000/AX9*100</f>
        <v>12.362114872575123</v>
      </c>
      <c r="BH9" s="21">
        <v>16.126999999999999</v>
      </c>
      <c r="BI9" s="20">
        <f t="shared" si="24"/>
        <v>2.7804948859983787</v>
      </c>
      <c r="BJ9" s="22">
        <v>0.51</v>
      </c>
      <c r="BK9" s="22">
        <v>0.75800000000000001</v>
      </c>
      <c r="BL9" s="23">
        <v>76.7</v>
      </c>
      <c r="BM9" s="24">
        <v>-13</v>
      </c>
      <c r="BN9" s="77">
        <v>0.63600000000000001</v>
      </c>
      <c r="BO9" s="77">
        <f t="shared" si="25"/>
        <v>0.122</v>
      </c>
      <c r="BP9" s="113">
        <v>1.7</v>
      </c>
      <c r="BQ9" s="77">
        <f t="shared" si="26"/>
        <v>0.53062825106217038</v>
      </c>
      <c r="BS9" s="9">
        <v>26417</v>
      </c>
      <c r="BT9" s="19">
        <v>96.9</v>
      </c>
      <c r="BU9" s="18">
        <v>99263</v>
      </c>
      <c r="BV9" s="60">
        <f t="shared" si="27"/>
        <v>11.505528172339753</v>
      </c>
      <c r="BW9" s="61">
        <f t="shared" ref="BW9:BW15" si="66">BU9*1000000/(R9*1000)</f>
        <v>3318.2790666577521</v>
      </c>
      <c r="BX9" s="60">
        <f t="shared" si="28"/>
        <v>8.1072015741026195</v>
      </c>
      <c r="BY9" s="60">
        <f t="shared" si="29"/>
        <v>1.2046042013033507</v>
      </c>
      <c r="BZ9" s="60">
        <f t="shared" si="30"/>
        <v>0.18615104933794704</v>
      </c>
      <c r="CA9" s="60">
        <f t="shared" si="31"/>
        <v>29.024269005847952</v>
      </c>
      <c r="CB9" s="60">
        <f t="shared" si="32"/>
        <v>3.3681323422831029</v>
      </c>
      <c r="CD9" s="18" t="str">
        <f t="shared" si="33"/>
        <v/>
      </c>
      <c r="CE9" s="18" t="str">
        <f t="shared" si="34"/>
        <v/>
      </c>
      <c r="CF9" s="18" t="str">
        <f t="shared" si="35"/>
        <v/>
      </c>
      <c r="CG9" s="18" t="str">
        <f t="shared" si="36"/>
        <v/>
      </c>
      <c r="CH9" s="135" t="str">
        <f t="shared" si="37"/>
        <v/>
      </c>
      <c r="CJ9" s="9" t="str">
        <f t="shared" si="38"/>
        <v/>
      </c>
      <c r="CK9" s="135" t="str">
        <f t="shared" si="39"/>
        <v/>
      </c>
      <c r="CL9" s="61" t="str">
        <f t="shared" si="40"/>
        <v/>
      </c>
      <c r="CM9" s="135" t="str">
        <f t="shared" si="41"/>
        <v/>
      </c>
      <c r="CN9" s="61" t="str">
        <f t="shared" si="42"/>
        <v/>
      </c>
      <c r="CO9" s="113">
        <v>6.6</v>
      </c>
      <c r="CP9" s="129">
        <v>4979</v>
      </c>
      <c r="CQ9" s="136">
        <v>32.6</v>
      </c>
      <c r="CR9" s="77">
        <f t="shared" si="43"/>
        <v>1.8870696490323797</v>
      </c>
      <c r="CS9" s="25">
        <v>3.6</v>
      </c>
      <c r="CT9" s="2">
        <f t="shared" si="44"/>
        <v>1.2809338454620642</v>
      </c>
      <c r="CU9" s="7">
        <f t="shared" si="45"/>
        <v>107690.40000000001</v>
      </c>
      <c r="CV9" s="2">
        <f t="shared" si="46"/>
        <v>11.587015722681336</v>
      </c>
      <c r="CW9" s="14">
        <f t="shared" si="47"/>
        <v>1076.904</v>
      </c>
      <c r="CX9" s="2">
        <f t="shared" si="48"/>
        <v>6.9818455366932453</v>
      </c>
      <c r="CY9" s="2">
        <f t="shared" si="49"/>
        <v>0.1122130341274737</v>
      </c>
      <c r="CZ9" s="13">
        <f t="shared" si="50"/>
        <v>13.068747497057146</v>
      </c>
      <c r="DA9" s="2">
        <f t="shared" si="51"/>
        <v>2.5702236926735753</v>
      </c>
      <c r="DB9" s="64">
        <v>0.65</v>
      </c>
      <c r="DC9" s="64">
        <v>0.61</v>
      </c>
      <c r="DD9" s="64">
        <v>1.27</v>
      </c>
      <c r="DE9" s="64">
        <v>0.87</v>
      </c>
      <c r="DF9" s="64">
        <v>-0.05</v>
      </c>
      <c r="DG9" s="64">
        <v>0.42</v>
      </c>
      <c r="DH9" s="65">
        <v>7.333333333333333</v>
      </c>
      <c r="DI9" s="15">
        <v>8.6666666666666679</v>
      </c>
      <c r="DJ9" s="67">
        <v>27.866666666666664</v>
      </c>
      <c r="DK9" s="15">
        <v>11.866666666666664</v>
      </c>
      <c r="DL9" s="15">
        <f t="shared" si="52"/>
        <v>20.533333333333331</v>
      </c>
      <c r="DM9" s="13">
        <v>4.5</v>
      </c>
      <c r="DR9" s="13">
        <f t="shared" si="65"/>
        <v>4.5</v>
      </c>
      <c r="DS9" s="16">
        <v>18</v>
      </c>
      <c r="DT9" s="16">
        <v>21</v>
      </c>
      <c r="DU9" s="16">
        <v>16</v>
      </c>
      <c r="DV9" s="17">
        <v>1080</v>
      </c>
      <c r="DW9" s="17">
        <v>150</v>
      </c>
      <c r="DX9" s="77">
        <f t="shared" si="53"/>
        <v>5.0106352940962555</v>
      </c>
      <c r="DY9" s="17">
        <v>8165500</v>
      </c>
      <c r="DZ9" s="17">
        <f t="shared" si="54"/>
        <v>8165.5</v>
      </c>
      <c r="EA9" s="129">
        <f t="shared" si="55"/>
        <v>9.0076732405167981</v>
      </c>
      <c r="EB9" s="17">
        <v>18380000</v>
      </c>
      <c r="EC9" s="17">
        <f t="shared" si="56"/>
        <v>18380</v>
      </c>
      <c r="ED9" s="126">
        <f t="shared" si="57"/>
        <v>9.8190183959096782</v>
      </c>
      <c r="EE9" s="123">
        <f t="shared" si="58"/>
        <v>0.44426006528835693</v>
      </c>
      <c r="EF9" s="123">
        <f t="shared" si="59"/>
        <v>2.250933806870369</v>
      </c>
      <c r="EG9" s="77">
        <f t="shared" si="60"/>
        <v>0.81134515539287999</v>
      </c>
      <c r="EH9" s="113">
        <v>38.4</v>
      </c>
      <c r="EI9" s="77">
        <v>0.61</v>
      </c>
      <c r="EJ9" s="77">
        <v>8.1000000000000003E-2</v>
      </c>
      <c r="EK9" s="77">
        <f t="shared" si="61"/>
        <v>-2.5133061243096981</v>
      </c>
      <c r="EL9" s="16">
        <v>0</v>
      </c>
    </row>
    <row r="10" spans="1:142" x14ac:dyDescent="0.3">
      <c r="A10" s="30">
        <f t="shared" si="0"/>
        <v>9</v>
      </c>
      <c r="B10" s="1" t="s">
        <v>15</v>
      </c>
      <c r="C10" s="1" t="s">
        <v>16</v>
      </c>
      <c r="D10" s="149" t="s">
        <v>1</v>
      </c>
      <c r="E10" s="16">
        <v>0</v>
      </c>
      <c r="F10" s="16">
        <v>1</v>
      </c>
      <c r="G10" s="16">
        <v>0</v>
      </c>
      <c r="H10" s="16">
        <v>0</v>
      </c>
      <c r="I10" s="16">
        <v>0</v>
      </c>
      <c r="K10" s="17">
        <v>436</v>
      </c>
      <c r="L10" s="2">
        <v>23.7104</v>
      </c>
      <c r="M10" s="2">
        <f t="shared" si="1"/>
        <v>23.7104</v>
      </c>
      <c r="N10" s="2">
        <v>90.407439999999994</v>
      </c>
      <c r="O10" s="3">
        <v>15264</v>
      </c>
      <c r="P10" s="3">
        <v>16982.363000000001</v>
      </c>
      <c r="Q10" s="3">
        <v>18234.249</v>
      </c>
      <c r="R10" s="6">
        <v>19578</v>
      </c>
      <c r="S10" s="134">
        <f t="shared" si="2"/>
        <v>9.8821617658213761</v>
      </c>
      <c r="T10" s="6">
        <v>163046.17300000001</v>
      </c>
      <c r="U10" s="3">
        <f t="shared" si="3"/>
        <v>163.04617300000001</v>
      </c>
      <c r="V10" s="6">
        <f t="shared" si="4"/>
        <v>5.0940334306320585</v>
      </c>
      <c r="W10" s="4">
        <f t="shared" si="5"/>
        <v>12.007641540902648</v>
      </c>
      <c r="X10" s="4">
        <v>3.5563188727875454</v>
      </c>
      <c r="Y10" s="11">
        <v>1.17</v>
      </c>
      <c r="Z10" s="4">
        <f t="shared" si="6"/>
        <v>3.0395887801602952</v>
      </c>
      <c r="AA10" s="17">
        <v>36541</v>
      </c>
      <c r="AB10" s="126">
        <f t="shared" si="7"/>
        <v>365.41</v>
      </c>
      <c r="AC10" s="14">
        <v>365.41</v>
      </c>
      <c r="AD10" s="2">
        <f t="shared" si="8"/>
        <v>5.9010200108381765</v>
      </c>
      <c r="AE10" s="6">
        <f t="shared" si="9"/>
        <v>53.578172463807775</v>
      </c>
      <c r="AF10" s="6">
        <f t="shared" si="10"/>
        <v>3.9811417549831996</v>
      </c>
      <c r="AG10" s="5">
        <v>148460</v>
      </c>
      <c r="AH10" s="7">
        <f t="shared" si="11"/>
        <v>148.46</v>
      </c>
      <c r="AI10" s="2">
        <f t="shared" si="12"/>
        <v>0.24613363869055638</v>
      </c>
      <c r="AJ10" s="8">
        <f t="shared" si="13"/>
        <v>1098.249851811936</v>
      </c>
      <c r="AK10" s="134">
        <f t="shared" si="14"/>
        <v>7.0014731479247949</v>
      </c>
      <c r="AL10" s="8">
        <f t="shared" si="15"/>
        <v>48.785048662116722</v>
      </c>
      <c r="AM10" s="20">
        <v>0.27400000000000002</v>
      </c>
      <c r="AN10" s="53">
        <v>142000000000</v>
      </c>
      <c r="AO10" s="20">
        <f t="shared" si="16"/>
        <v>142</v>
      </c>
      <c r="AP10" s="20">
        <f t="shared" si="17"/>
        <v>4.9558270576012609</v>
      </c>
      <c r="AQ10" s="72">
        <f t="shared" si="18"/>
        <v>7787.5431008976566</v>
      </c>
      <c r="AR10" s="72">
        <f t="shared" si="19"/>
        <v>8.9602806977060947</v>
      </c>
      <c r="AS10" s="72">
        <f t="shared" si="20"/>
        <v>51.824817518248167</v>
      </c>
      <c r="AU10" s="20" t="str">
        <f t="shared" si="21"/>
        <v/>
      </c>
      <c r="AV10" s="73">
        <f t="shared" si="62"/>
        <v>0</v>
      </c>
      <c r="AW10" s="53"/>
      <c r="AX10" s="53"/>
      <c r="AY10" s="53"/>
      <c r="AZ10" s="53">
        <f t="shared" si="63"/>
        <v>114875.7687</v>
      </c>
      <c r="BA10" s="22">
        <f t="shared" si="22"/>
        <v>11.651606551256927</v>
      </c>
      <c r="BB10" s="53">
        <v>6300</v>
      </c>
      <c r="BC10" s="22">
        <f t="shared" si="23"/>
        <v>8.7483049123796235</v>
      </c>
      <c r="BD10" s="22">
        <v>0.2</v>
      </c>
      <c r="BE10" s="22">
        <f t="shared" si="64"/>
        <v>6.3</v>
      </c>
      <c r="BF10" s="54">
        <v>3.278688524590164</v>
      </c>
      <c r="BG10" s="54"/>
      <c r="BH10" s="21">
        <v>4.0570000000000004</v>
      </c>
      <c r="BI10" s="20">
        <f t="shared" si="24"/>
        <v>1.4004437842243103</v>
      </c>
      <c r="BJ10" s="22">
        <v>0.39500000000000002</v>
      </c>
      <c r="BK10" s="22">
        <v>0.61399999999999999</v>
      </c>
      <c r="BL10" s="23">
        <v>72.3</v>
      </c>
      <c r="BM10" s="24">
        <v>6</v>
      </c>
      <c r="BN10" s="77">
        <v>0.46500000000000002</v>
      </c>
      <c r="BO10" s="77">
        <f t="shared" si="25"/>
        <v>0.14899999999999997</v>
      </c>
      <c r="BP10" s="113">
        <v>1.3</v>
      </c>
      <c r="BQ10" s="77">
        <f t="shared" si="26"/>
        <v>0.26236426446749106</v>
      </c>
      <c r="BS10" s="9">
        <v>2551</v>
      </c>
      <c r="BT10" s="19">
        <v>9</v>
      </c>
      <c r="BU10" s="18">
        <v>9671</v>
      </c>
      <c r="BV10" s="60">
        <f t="shared" si="27"/>
        <v>9.1768869957169628</v>
      </c>
      <c r="BW10" s="61">
        <f t="shared" si="66"/>
        <v>493.97282664214936</v>
      </c>
      <c r="BX10" s="60">
        <f t="shared" si="28"/>
        <v>6.2024805088777244</v>
      </c>
      <c r="BY10" s="60">
        <f t="shared" si="29"/>
        <v>26.466161298267696</v>
      </c>
      <c r="BZ10" s="60">
        <f t="shared" si="30"/>
        <v>3.2758669848787871</v>
      </c>
      <c r="CA10" s="60">
        <f t="shared" si="31"/>
        <v>6.8105633802816898</v>
      </c>
      <c r="CB10" s="60">
        <f t="shared" si="32"/>
        <v>1.9184748451216567</v>
      </c>
      <c r="CC10" s="18">
        <v>13527.35</v>
      </c>
      <c r="CD10" s="18">
        <f t="shared" si="33"/>
        <v>3757.5975228300003</v>
      </c>
      <c r="CE10" s="18">
        <f t="shared" si="34"/>
        <v>8.2315350754699672</v>
      </c>
      <c r="CF10" s="18">
        <f t="shared" si="35"/>
        <v>3.4080281966915744</v>
      </c>
      <c r="CG10" s="18">
        <f t="shared" si="36"/>
        <v>246.17384190448115</v>
      </c>
      <c r="CH10" s="135">
        <f t="shared" si="37"/>
        <v>5.5060379607640355</v>
      </c>
      <c r="CI10" s="9">
        <v>396926</v>
      </c>
      <c r="CJ10" s="9">
        <f t="shared" si="38"/>
        <v>110257.23104280001</v>
      </c>
      <c r="CK10" s="135">
        <f t="shared" si="39"/>
        <v>11.61057137884811</v>
      </c>
      <c r="CL10" s="61">
        <f t="shared" si="40"/>
        <v>7223.3510903301885</v>
      </c>
      <c r="CM10" s="135">
        <f t="shared" si="41"/>
        <v>8.8850742641421796</v>
      </c>
      <c r="CN10" s="61">
        <f t="shared" si="42"/>
        <v>3.4080281966915753</v>
      </c>
      <c r="CO10" s="113">
        <v>0.7</v>
      </c>
      <c r="CP10" s="129">
        <v>21764</v>
      </c>
      <c r="CQ10" s="136">
        <v>15</v>
      </c>
      <c r="CR10" s="77">
        <f t="shared" si="43"/>
        <v>-0.35667494393873245</v>
      </c>
      <c r="CS10" s="25">
        <v>0.8</v>
      </c>
      <c r="CT10" s="2">
        <f t="shared" si="44"/>
        <v>-0.22314355131420971</v>
      </c>
      <c r="CU10" s="7">
        <f t="shared" si="45"/>
        <v>15662.400000000001</v>
      </c>
      <c r="CV10" s="2">
        <f t="shared" si="46"/>
        <v>9.6590182145071655</v>
      </c>
      <c r="CW10" s="14">
        <f t="shared" si="47"/>
        <v>156.62400000000002</v>
      </c>
      <c r="CX10" s="2">
        <f t="shared" si="48"/>
        <v>5.0538480285190746</v>
      </c>
      <c r="CY10" s="2">
        <f t="shared" si="49"/>
        <v>1.0549912434325746</v>
      </c>
      <c r="CZ10" s="13">
        <f t="shared" si="50"/>
        <v>428.62537971046225</v>
      </c>
      <c r="DA10" s="2">
        <f t="shared" si="51"/>
        <v>6.0605832966630357</v>
      </c>
      <c r="DB10" s="64">
        <v>1.6</v>
      </c>
      <c r="DC10" s="64">
        <v>1.03</v>
      </c>
      <c r="DD10" s="64">
        <v>2.08</v>
      </c>
      <c r="DE10" s="64">
        <v>0.08</v>
      </c>
      <c r="DF10" s="64">
        <v>1.21</v>
      </c>
      <c r="DG10" s="64">
        <v>1.44</v>
      </c>
      <c r="DH10" s="65">
        <v>20.066666666666666</v>
      </c>
      <c r="DI10" s="15">
        <v>0</v>
      </c>
      <c r="DJ10" s="67">
        <v>29.8</v>
      </c>
      <c r="DK10" s="15">
        <v>13.8</v>
      </c>
      <c r="DL10" s="15">
        <f t="shared" si="52"/>
        <v>13.8</v>
      </c>
      <c r="DM10" s="13">
        <v>7.5</v>
      </c>
      <c r="DR10" s="13">
        <f t="shared" si="65"/>
        <v>7.5</v>
      </c>
      <c r="DS10" s="16">
        <v>26.1</v>
      </c>
      <c r="DT10" s="16">
        <v>30.6</v>
      </c>
      <c r="DU10" s="16">
        <v>21.5</v>
      </c>
      <c r="DV10" s="17">
        <v>2148</v>
      </c>
      <c r="DW10" s="17">
        <v>16</v>
      </c>
      <c r="DX10" s="77">
        <f t="shared" si="53"/>
        <v>2.7725887222397811</v>
      </c>
      <c r="DY10" s="17">
        <v>14543000</v>
      </c>
      <c r="DZ10" s="17">
        <f t="shared" si="54"/>
        <v>14543</v>
      </c>
      <c r="EA10" s="129">
        <f t="shared" si="55"/>
        <v>9.5848650571777103</v>
      </c>
      <c r="EB10" s="17">
        <v>18898000</v>
      </c>
      <c r="EC10" s="17">
        <f t="shared" si="56"/>
        <v>18898</v>
      </c>
      <c r="ED10" s="126">
        <f t="shared" si="57"/>
        <v>9.8468113753425719</v>
      </c>
      <c r="EE10" s="123">
        <f t="shared" si="58"/>
        <v>0.76955233358027308</v>
      </c>
      <c r="EF10" s="123">
        <f t="shared" si="59"/>
        <v>1.2994567833321873</v>
      </c>
      <c r="EG10" s="77">
        <f t="shared" si="60"/>
        <v>0.26194631816486103</v>
      </c>
      <c r="EH10" s="113">
        <v>27.9</v>
      </c>
      <c r="EI10" s="77">
        <v>0.44700000000000001</v>
      </c>
      <c r="EJ10" s="77">
        <v>6.6000000000000003E-2</v>
      </c>
      <c r="EK10" s="77">
        <f t="shared" si="61"/>
        <v>-2.7181005369557116</v>
      </c>
      <c r="EL10" s="16">
        <v>1</v>
      </c>
    </row>
    <row r="11" spans="1:142" x14ac:dyDescent="0.3">
      <c r="A11" s="30">
        <f t="shared" si="0"/>
        <v>10</v>
      </c>
      <c r="B11" s="1" t="s">
        <v>17</v>
      </c>
      <c r="C11" s="1" t="s">
        <v>5</v>
      </c>
      <c r="D11" s="149" t="s">
        <v>1</v>
      </c>
      <c r="E11" s="16">
        <v>0</v>
      </c>
      <c r="F11" s="16">
        <v>1</v>
      </c>
      <c r="G11" s="16">
        <v>0</v>
      </c>
      <c r="H11" s="16">
        <v>0</v>
      </c>
      <c r="I11" s="16">
        <v>0</v>
      </c>
      <c r="J11" s="17">
        <v>178</v>
      </c>
      <c r="K11" s="17">
        <v>1125</v>
      </c>
      <c r="L11" s="2">
        <v>23.125457000000001</v>
      </c>
      <c r="M11" s="2">
        <f t="shared" si="1"/>
        <v>23.125457000000001</v>
      </c>
      <c r="N11" s="2">
        <v>113.257374</v>
      </c>
      <c r="O11" s="3">
        <v>10546</v>
      </c>
      <c r="P11" s="3">
        <v>11396.325000000001</v>
      </c>
      <c r="Q11" s="3">
        <v>12001.687</v>
      </c>
      <c r="R11" s="6">
        <v>12638</v>
      </c>
      <c r="S11" s="134">
        <f t="shared" si="2"/>
        <v>9.4444634273334014</v>
      </c>
      <c r="T11" s="6">
        <v>1433783.692</v>
      </c>
      <c r="U11" s="3">
        <f t="shared" si="3"/>
        <v>1433.783692</v>
      </c>
      <c r="V11" s="6">
        <f t="shared" si="4"/>
        <v>7.2680721673828224</v>
      </c>
      <c r="W11" s="4">
        <f t="shared" si="5"/>
        <v>0.88144397725511314</v>
      </c>
      <c r="X11" s="4">
        <v>2.5582803445853615</v>
      </c>
      <c r="Y11" s="11">
        <v>0.56000000000000005</v>
      </c>
      <c r="Z11" s="4">
        <f t="shared" si="6"/>
        <v>4.5683577581881449</v>
      </c>
      <c r="AA11" s="146">
        <v>508259</v>
      </c>
      <c r="AB11" s="144">
        <f t="shared" si="7"/>
        <v>5082.59</v>
      </c>
      <c r="AC11" s="145">
        <v>7434</v>
      </c>
      <c r="AD11" s="2">
        <f t="shared" si="8"/>
        <v>8.9138193508571977</v>
      </c>
      <c r="AE11" s="6">
        <f t="shared" si="9"/>
        <v>1.7000269034167339</v>
      </c>
      <c r="AF11" s="6">
        <f t="shared" si="10"/>
        <v>0.53064407647620315</v>
      </c>
      <c r="AG11" s="5">
        <v>9596960</v>
      </c>
      <c r="AH11" s="7">
        <f t="shared" si="11"/>
        <v>9596.9599999999991</v>
      </c>
      <c r="AI11" s="2">
        <f t="shared" si="12"/>
        <v>7.7462029642720198E-2</v>
      </c>
      <c r="AJ11" s="8">
        <f t="shared" si="13"/>
        <v>149.39977784631802</v>
      </c>
      <c r="AK11" s="134">
        <f t="shared" si="14"/>
        <v>5.0066257857251752</v>
      </c>
      <c r="AL11" s="8">
        <f t="shared" si="15"/>
        <v>11.37904572499089</v>
      </c>
      <c r="AM11" s="20">
        <v>13.61</v>
      </c>
      <c r="AN11" s="53">
        <v>247000000000</v>
      </c>
      <c r="AO11" s="20">
        <f t="shared" si="16"/>
        <v>247</v>
      </c>
      <c r="AP11" s="20">
        <f t="shared" si="17"/>
        <v>5.5093883366279774</v>
      </c>
      <c r="AQ11" s="72">
        <f t="shared" si="18"/>
        <v>20580.440066467323</v>
      </c>
      <c r="AR11" s="72">
        <f t="shared" si="19"/>
        <v>9.9320963923696919</v>
      </c>
      <c r="AS11" s="72">
        <f t="shared" si="20"/>
        <v>1.8148420279206465</v>
      </c>
      <c r="AT11" s="73">
        <v>380.3</v>
      </c>
      <c r="AU11" s="20">
        <f t="shared" si="21"/>
        <v>5.9409604149342137</v>
      </c>
      <c r="AV11" s="73">
        <f t="shared" si="62"/>
        <v>2.7942689199118296</v>
      </c>
      <c r="AW11" s="53">
        <v>380264</v>
      </c>
      <c r="AX11" s="53">
        <v>29014</v>
      </c>
      <c r="AY11" s="53">
        <f>AW11*1000000/(P11*1000)</f>
        <v>33367.247775050288</v>
      </c>
      <c r="AZ11" s="53">
        <f t="shared" si="63"/>
        <v>372220.320618</v>
      </c>
      <c r="BA11" s="22">
        <f t="shared" si="22"/>
        <v>12.827241217664517</v>
      </c>
      <c r="BB11" s="53">
        <v>31014</v>
      </c>
      <c r="BC11" s="22">
        <f t="shared" si="23"/>
        <v>10.342193994424095</v>
      </c>
      <c r="BD11" s="22">
        <v>2</v>
      </c>
      <c r="BE11" s="22">
        <f t="shared" si="64"/>
        <v>2</v>
      </c>
      <c r="BF11" s="54">
        <v>6.8932239608464885</v>
      </c>
      <c r="BG11" s="54">
        <f>BE11*1000/AX11*100</f>
        <v>6.8932239608464885</v>
      </c>
      <c r="BH11" s="21">
        <v>16.126999999999999</v>
      </c>
      <c r="BI11" s="20">
        <f t="shared" si="24"/>
        <v>2.7804948859983787</v>
      </c>
      <c r="BJ11" s="22">
        <v>0.51</v>
      </c>
      <c r="BK11" s="22">
        <v>0.75800000000000001</v>
      </c>
      <c r="BL11" s="23">
        <v>76.7</v>
      </c>
      <c r="BM11" s="24">
        <v>-13</v>
      </c>
      <c r="BN11" s="77">
        <v>0.63600000000000001</v>
      </c>
      <c r="BO11" s="77">
        <f t="shared" si="25"/>
        <v>0.122</v>
      </c>
      <c r="BP11" s="113">
        <v>1.7</v>
      </c>
      <c r="BQ11" s="77">
        <f t="shared" si="26"/>
        <v>0.53062825106217038</v>
      </c>
      <c r="BR11" s="113">
        <v>1.3</v>
      </c>
      <c r="BS11" s="9">
        <v>26417</v>
      </c>
      <c r="BT11" s="19">
        <v>96.9</v>
      </c>
      <c r="BU11" s="18">
        <v>63120</v>
      </c>
      <c r="BV11" s="60">
        <f t="shared" si="27"/>
        <v>11.052792955519756</v>
      </c>
      <c r="BW11" s="61">
        <f t="shared" si="66"/>
        <v>4994.4611489159679</v>
      </c>
      <c r="BX11" s="60">
        <f t="shared" si="28"/>
        <v>8.5160848071684931</v>
      </c>
      <c r="BY11" s="60">
        <f t="shared" si="29"/>
        <v>8.4907183212267956</v>
      </c>
      <c r="BZ11" s="60">
        <f t="shared" si="30"/>
        <v>2.1389736046625583</v>
      </c>
      <c r="CA11" s="60">
        <f t="shared" si="31"/>
        <v>25.554655870445345</v>
      </c>
      <c r="CB11" s="60">
        <f t="shared" si="32"/>
        <v>3.240819525897733</v>
      </c>
      <c r="CC11" s="18">
        <v>320085.98</v>
      </c>
      <c r="CD11" s="18">
        <f t="shared" si="33"/>
        <v>88912.779335244006</v>
      </c>
      <c r="CE11" s="18">
        <f t="shared" si="34"/>
        <v>11.395411160723819</v>
      </c>
      <c r="CF11" s="18">
        <f t="shared" si="35"/>
        <v>27.801241513127785</v>
      </c>
      <c r="CG11" s="18">
        <f t="shared" si="36"/>
        <v>8430.9481637819081</v>
      </c>
      <c r="CH11" s="135">
        <f t="shared" si="37"/>
        <v>9.0396645196155418</v>
      </c>
      <c r="CI11" s="9">
        <v>1151337</v>
      </c>
      <c r="CJ11" s="9">
        <f t="shared" si="38"/>
        <v>319815.85891860002</v>
      </c>
      <c r="CK11" s="135">
        <f t="shared" si="39"/>
        <v>12.675500668266888</v>
      </c>
      <c r="CL11" s="61">
        <f t="shared" si="40"/>
        <v>30325.797356210889</v>
      </c>
      <c r="CM11" s="135">
        <f t="shared" si="41"/>
        <v>10.319754027158611</v>
      </c>
      <c r="CN11" s="61">
        <f t="shared" si="42"/>
        <v>27.801241513127778</v>
      </c>
      <c r="CO11" s="113">
        <v>6.1</v>
      </c>
      <c r="CP11" s="129">
        <v>44309</v>
      </c>
      <c r="CQ11" s="136">
        <v>272</v>
      </c>
      <c r="CR11" s="77">
        <f t="shared" si="43"/>
        <v>1.8082887711792655</v>
      </c>
      <c r="CS11" s="25">
        <v>3.6</v>
      </c>
      <c r="CT11" s="2">
        <f t="shared" si="44"/>
        <v>1.2809338454620642</v>
      </c>
      <c r="CU11" s="7">
        <f t="shared" si="45"/>
        <v>45496.800000000003</v>
      </c>
      <c r="CV11" s="2">
        <f t="shared" si="46"/>
        <v>10.725397272795465</v>
      </c>
      <c r="CW11" s="14">
        <f t="shared" si="47"/>
        <v>454.96800000000002</v>
      </c>
      <c r="CX11" s="2">
        <f t="shared" si="48"/>
        <v>6.1202270868073736</v>
      </c>
      <c r="CY11" s="2">
        <f t="shared" si="49"/>
        <v>4.7407512378919991E-2</v>
      </c>
      <c r="CZ11" s="13">
        <f t="shared" si="50"/>
        <v>61.200968523002423</v>
      </c>
      <c r="DA11" s="2">
        <f t="shared" si="51"/>
        <v>4.1141630149323127</v>
      </c>
      <c r="DB11" s="64">
        <v>1.34</v>
      </c>
      <c r="DC11" s="64">
        <v>0.47</v>
      </c>
      <c r="DD11" s="64">
        <v>2.04</v>
      </c>
      <c r="DE11" s="64">
        <v>0.4</v>
      </c>
      <c r="DF11" s="64">
        <v>0.81</v>
      </c>
      <c r="DG11" s="64">
        <v>0.45</v>
      </c>
      <c r="DH11" s="65">
        <v>14.699999999999998</v>
      </c>
      <c r="DI11" s="15">
        <v>1.3000000000000025</v>
      </c>
      <c r="DJ11" s="67">
        <v>28.733333333333334</v>
      </c>
      <c r="DK11" s="15">
        <v>12.733333333333334</v>
      </c>
      <c r="DL11" s="15">
        <f t="shared" si="52"/>
        <v>14.033333333333337</v>
      </c>
      <c r="DM11" s="13"/>
      <c r="DP11" s="12">
        <v>2.16</v>
      </c>
      <c r="DR11" s="13">
        <f t="shared" si="65"/>
        <v>2.16</v>
      </c>
      <c r="DS11" s="16">
        <v>22</v>
      </c>
      <c r="DT11" s="16">
        <v>25</v>
      </c>
      <c r="DU11" s="16">
        <v>18</v>
      </c>
      <c r="DV11" s="17">
        <v>1690</v>
      </c>
      <c r="DW11" s="17">
        <v>18</v>
      </c>
      <c r="DX11" s="77">
        <f t="shared" si="53"/>
        <v>2.8903717578961645</v>
      </c>
      <c r="DY11" s="17">
        <v>11548000</v>
      </c>
      <c r="DZ11" s="17">
        <f t="shared" si="54"/>
        <v>11548</v>
      </c>
      <c r="EA11" s="129">
        <f t="shared" si="55"/>
        <v>9.3542675407828249</v>
      </c>
      <c r="EB11" s="17">
        <v>14044000</v>
      </c>
      <c r="EC11" s="17">
        <f t="shared" si="56"/>
        <v>14044</v>
      </c>
      <c r="ED11" s="126">
        <f t="shared" si="57"/>
        <v>9.5499505372883231</v>
      </c>
      <c r="EE11" s="123">
        <f t="shared" si="58"/>
        <v>0.82227285673597261</v>
      </c>
      <c r="EF11" s="123">
        <f t="shared" si="59"/>
        <v>1.2161413231728437</v>
      </c>
      <c r="EG11" s="77">
        <f t="shared" si="60"/>
        <v>0.19568299650549711</v>
      </c>
      <c r="EH11" s="113">
        <v>38.4</v>
      </c>
      <c r="EI11" s="77">
        <v>0.61</v>
      </c>
      <c r="EJ11" s="77">
        <v>8.1000000000000003E-2</v>
      </c>
      <c r="EK11" s="77">
        <f t="shared" si="61"/>
        <v>-2.5133061243096981</v>
      </c>
      <c r="EL11" s="16">
        <v>0</v>
      </c>
    </row>
    <row r="12" spans="1:142" x14ac:dyDescent="0.3">
      <c r="A12" s="30">
        <f t="shared" si="0"/>
        <v>11</v>
      </c>
      <c r="B12" s="1" t="s">
        <v>18</v>
      </c>
      <c r="C12" s="1" t="s">
        <v>19</v>
      </c>
      <c r="D12" s="149" t="s">
        <v>1</v>
      </c>
      <c r="E12" s="16">
        <v>0</v>
      </c>
      <c r="F12" s="16">
        <v>1</v>
      </c>
      <c r="G12" s="16">
        <v>0</v>
      </c>
      <c r="H12" s="16">
        <v>0</v>
      </c>
      <c r="I12" s="16">
        <v>0</v>
      </c>
      <c r="J12" s="17">
        <v>123</v>
      </c>
      <c r="K12" s="17">
        <v>3856</v>
      </c>
      <c r="L12" s="2">
        <v>41.013800000000003</v>
      </c>
      <c r="M12" s="2">
        <f t="shared" si="1"/>
        <v>41.013800000000003</v>
      </c>
      <c r="N12" s="2">
        <v>28.9497</v>
      </c>
      <c r="O12" s="3">
        <v>13058</v>
      </c>
      <c r="P12" s="3">
        <v>13901.91</v>
      </c>
      <c r="Q12" s="3">
        <v>14332.066000000001</v>
      </c>
      <c r="R12" s="6">
        <v>14751</v>
      </c>
      <c r="S12" s="134">
        <f t="shared" si="2"/>
        <v>9.599066156080049</v>
      </c>
      <c r="T12" s="6">
        <v>83429.607000000004</v>
      </c>
      <c r="U12" s="3">
        <f t="shared" si="3"/>
        <v>83.429607000000004</v>
      </c>
      <c r="V12" s="6">
        <f t="shared" si="4"/>
        <v>4.4240032463671097</v>
      </c>
      <c r="W12" s="4">
        <f t="shared" si="5"/>
        <v>17.680773685054035</v>
      </c>
      <c r="X12" s="4">
        <v>2.999690505000403</v>
      </c>
      <c r="Y12" s="11">
        <v>1.46</v>
      </c>
      <c r="Z12" s="4">
        <f t="shared" si="6"/>
        <v>2.054582537671509</v>
      </c>
      <c r="AA12" s="17">
        <v>131604</v>
      </c>
      <c r="AB12" s="126">
        <f t="shared" si="7"/>
        <v>1316.04</v>
      </c>
      <c r="AC12" s="14">
        <v>1316.06</v>
      </c>
      <c r="AD12" s="2">
        <f t="shared" si="8"/>
        <v>7.1823977035511142</v>
      </c>
      <c r="AE12" s="6">
        <f t="shared" si="9"/>
        <v>11.20845554154066</v>
      </c>
      <c r="AF12" s="6">
        <f t="shared" si="10"/>
        <v>2.4166684525289353</v>
      </c>
      <c r="AG12" s="5">
        <v>783562</v>
      </c>
      <c r="AH12" s="7">
        <f t="shared" si="11"/>
        <v>783.56200000000001</v>
      </c>
      <c r="AI12" s="2">
        <f t="shared" si="12"/>
        <v>0.16795862994887448</v>
      </c>
      <c r="AJ12" s="8">
        <f t="shared" si="13"/>
        <v>106.47479969676937</v>
      </c>
      <c r="AK12" s="134">
        <f t="shared" si="14"/>
        <v>4.6679083345843981</v>
      </c>
      <c r="AL12" s="8">
        <f t="shared" si="15"/>
        <v>105.26862293670737</v>
      </c>
      <c r="AM12" s="20">
        <v>0.77139999999999997</v>
      </c>
      <c r="AN12" s="53">
        <v>332400000000</v>
      </c>
      <c r="AO12" s="20">
        <f t="shared" si="16"/>
        <v>332.4</v>
      </c>
      <c r="AP12" s="20">
        <f t="shared" si="17"/>
        <v>5.8063390629812934</v>
      </c>
      <c r="AQ12" s="72">
        <f t="shared" si="18"/>
        <v>23192.748344865282</v>
      </c>
      <c r="AR12" s="72">
        <f t="shared" si="19"/>
        <v>10.051594937451783</v>
      </c>
      <c r="AS12" s="72">
        <f t="shared" si="20"/>
        <v>43.090484832771587</v>
      </c>
      <c r="AT12" s="73">
        <v>348.7</v>
      </c>
      <c r="AU12" s="20">
        <f t="shared" si="21"/>
        <v>5.8542119536816051</v>
      </c>
      <c r="AV12" s="73">
        <f t="shared" si="62"/>
        <v>45.203526056520609</v>
      </c>
      <c r="AW12" s="53">
        <v>348721</v>
      </c>
      <c r="AX12" s="53">
        <v>24867</v>
      </c>
      <c r="AY12" s="53">
        <f>AW12*1000000/(P12*1000)</f>
        <v>25084.394878113872</v>
      </c>
      <c r="AZ12" s="53">
        <f t="shared" si="63"/>
        <v>379240.85293073091</v>
      </c>
      <c r="BA12" s="22">
        <f t="shared" si="22"/>
        <v>12.845926778082026</v>
      </c>
      <c r="BB12" s="53">
        <v>26461.003802991898</v>
      </c>
      <c r="BC12" s="22">
        <f t="shared" si="23"/>
        <v>10.18342737357038</v>
      </c>
      <c r="BD12" s="22">
        <v>1.5940038029918995</v>
      </c>
      <c r="BE12" s="22">
        <f t="shared" si="64"/>
        <v>1.5940038029918979</v>
      </c>
      <c r="BF12" s="54">
        <v>6.4101170345916181</v>
      </c>
      <c r="BG12" s="54">
        <f>BE12*1000/AX12*100</f>
        <v>6.4101170345916181</v>
      </c>
      <c r="BH12" s="21">
        <v>24.905000000000001</v>
      </c>
      <c r="BI12" s="20">
        <f t="shared" si="24"/>
        <v>3.2150685865252466</v>
      </c>
      <c r="BJ12" s="22">
        <v>0.39799999999999996</v>
      </c>
      <c r="BK12" s="22">
        <v>0.80600000000000005</v>
      </c>
      <c r="BL12" s="23">
        <v>77.400000000000006</v>
      </c>
      <c r="BM12" s="24">
        <v>-6</v>
      </c>
      <c r="BN12" s="77">
        <v>0.67600000000000005</v>
      </c>
      <c r="BO12" s="77">
        <f t="shared" si="25"/>
        <v>0.13</v>
      </c>
      <c r="BP12" s="113">
        <v>2.1</v>
      </c>
      <c r="BQ12" s="77">
        <f t="shared" si="26"/>
        <v>0.74193734472937733</v>
      </c>
      <c r="BS12" s="9">
        <v>21216</v>
      </c>
      <c r="BT12" s="19">
        <v>78.5</v>
      </c>
      <c r="BU12" s="18">
        <v>38248</v>
      </c>
      <c r="BV12" s="60">
        <f t="shared" si="27"/>
        <v>10.551846550305939</v>
      </c>
      <c r="BW12" s="61">
        <f t="shared" si="66"/>
        <v>2592.9089553250628</v>
      </c>
      <c r="BX12" s="60">
        <f t="shared" si="28"/>
        <v>7.8605356732080276</v>
      </c>
      <c r="BY12" s="60">
        <f t="shared" si="29"/>
        <v>29.062504749023603</v>
      </c>
      <c r="BZ12" s="60">
        <f t="shared" si="30"/>
        <v>3.3694488467548256</v>
      </c>
      <c r="CA12" s="60">
        <f t="shared" si="31"/>
        <v>11.50661853188929</v>
      </c>
      <c r="CB12" s="60">
        <f t="shared" si="32"/>
        <v>2.4429223943306004</v>
      </c>
      <c r="CC12" s="18">
        <v>76185</v>
      </c>
      <c r="CD12" s="18">
        <f t="shared" si="33"/>
        <v>21162.501693000002</v>
      </c>
      <c r="CE12" s="18">
        <f t="shared" si="34"/>
        <v>9.9599861064413879</v>
      </c>
      <c r="CF12" s="18">
        <f t="shared" si="35"/>
        <v>15.231059886644211</v>
      </c>
      <c r="CG12" s="18">
        <f t="shared" si="36"/>
        <v>1620.6541348598564</v>
      </c>
      <c r="CH12" s="135">
        <f t="shared" si="37"/>
        <v>7.3905851336769457</v>
      </c>
      <c r="CI12" s="9">
        <v>500195</v>
      </c>
      <c r="CJ12" s="9">
        <f t="shared" si="38"/>
        <v>138943.06667100001</v>
      </c>
      <c r="CK12" s="135">
        <f t="shared" si="39"/>
        <v>11.841819535912029</v>
      </c>
      <c r="CL12" s="61">
        <f t="shared" si="40"/>
        <v>10640.455404426406</v>
      </c>
      <c r="CM12" s="135">
        <f t="shared" si="41"/>
        <v>9.2724185631475873</v>
      </c>
      <c r="CN12" s="61">
        <f t="shared" si="42"/>
        <v>15.231059886644211</v>
      </c>
      <c r="CO12" s="113">
        <v>5.2</v>
      </c>
      <c r="CP12" s="129">
        <v>13587</v>
      </c>
      <c r="CQ12" s="136">
        <v>70.900000000000006</v>
      </c>
      <c r="CR12" s="77">
        <f t="shared" si="43"/>
        <v>1.6486586255873816</v>
      </c>
      <c r="CS12" s="25">
        <v>3.4</v>
      </c>
      <c r="CT12" s="2">
        <f t="shared" si="44"/>
        <v>1.2237754316221157</v>
      </c>
      <c r="CU12" s="7">
        <f t="shared" si="45"/>
        <v>50153.4</v>
      </c>
      <c r="CV12" s="2">
        <f t="shared" si="46"/>
        <v>10.822841587702165</v>
      </c>
      <c r="CW12" s="14">
        <f t="shared" si="47"/>
        <v>501.53399999999999</v>
      </c>
      <c r="CX12" s="2">
        <f t="shared" si="48"/>
        <v>6.2176714017140737</v>
      </c>
      <c r="CY12" s="2">
        <f t="shared" si="49"/>
        <v>0.64006932444401332</v>
      </c>
      <c r="CZ12" s="13">
        <f t="shared" si="50"/>
        <v>381.08748841238241</v>
      </c>
      <c r="DA12" s="2">
        <f t="shared" si="51"/>
        <v>5.9430289771450964</v>
      </c>
      <c r="DB12" s="64">
        <v>2.19</v>
      </c>
      <c r="DC12" s="64">
        <v>1.01</v>
      </c>
      <c r="DD12" s="64">
        <v>3.02</v>
      </c>
      <c r="DE12" s="64">
        <v>1.55</v>
      </c>
      <c r="DF12" s="64">
        <v>0.84</v>
      </c>
      <c r="DG12" s="64">
        <v>0.47</v>
      </c>
      <c r="DH12" s="65">
        <v>7.2333333333333334</v>
      </c>
      <c r="DI12" s="15">
        <v>8.7666666666666657</v>
      </c>
      <c r="DJ12" s="67">
        <v>24.099999999999998</v>
      </c>
      <c r="DK12" s="15">
        <v>8.0999999999999979</v>
      </c>
      <c r="DL12" s="15">
        <f t="shared" si="52"/>
        <v>16.866666666666664</v>
      </c>
      <c r="DM12" s="13">
        <v>3.25</v>
      </c>
      <c r="DR12" s="13">
        <f t="shared" si="65"/>
        <v>3.25</v>
      </c>
      <c r="DS12" s="16">
        <v>14</v>
      </c>
      <c r="DT12" s="16">
        <v>17</v>
      </c>
      <c r="DU12" s="16">
        <v>10</v>
      </c>
      <c r="DV12" s="17">
        <v>640</v>
      </c>
      <c r="DW12" s="17">
        <v>55</v>
      </c>
      <c r="DX12" s="77">
        <f t="shared" si="53"/>
        <v>4.0073331852324712</v>
      </c>
      <c r="DY12" s="17">
        <v>14657000</v>
      </c>
      <c r="DZ12" s="17">
        <f t="shared" si="54"/>
        <v>14657</v>
      </c>
      <c r="EA12" s="129">
        <f t="shared" si="55"/>
        <v>9.5926733160272999</v>
      </c>
      <c r="EB12" s="17">
        <v>14804000</v>
      </c>
      <c r="EC12" s="17">
        <f t="shared" si="56"/>
        <v>14804</v>
      </c>
      <c r="ED12" s="126">
        <f t="shared" si="57"/>
        <v>9.6026526935060463</v>
      </c>
      <c r="EE12" s="123">
        <f t="shared" si="58"/>
        <v>0.99007025128343695</v>
      </c>
      <c r="EF12" s="123">
        <f t="shared" si="59"/>
        <v>1.0100293375179095</v>
      </c>
      <c r="EG12" s="77">
        <f t="shared" si="60"/>
        <v>9.9793774787458826E-3</v>
      </c>
      <c r="EH12" s="113">
        <v>32.200000000000003</v>
      </c>
      <c r="EI12" s="77">
        <v>0.65200000000000002</v>
      </c>
      <c r="EJ12" s="77">
        <v>0.09</v>
      </c>
      <c r="EK12" s="77">
        <f t="shared" si="61"/>
        <v>-2.4079456086518722</v>
      </c>
      <c r="EL12" s="16">
        <v>0</v>
      </c>
    </row>
    <row r="13" spans="1:142" x14ac:dyDescent="0.3">
      <c r="A13" s="30">
        <f t="shared" si="0"/>
        <v>12</v>
      </c>
      <c r="B13" s="1" t="s">
        <v>20</v>
      </c>
      <c r="C13" s="1" t="s">
        <v>21</v>
      </c>
      <c r="D13" s="149" t="s">
        <v>1</v>
      </c>
      <c r="E13" s="16">
        <v>0</v>
      </c>
      <c r="F13" s="16">
        <v>1</v>
      </c>
      <c r="G13" s="16">
        <v>0</v>
      </c>
      <c r="H13" s="16">
        <v>0</v>
      </c>
      <c r="I13" s="16">
        <v>0</v>
      </c>
      <c r="J13" s="17">
        <v>414</v>
      </c>
      <c r="K13" s="17">
        <v>1323</v>
      </c>
      <c r="L13" s="2">
        <v>-6.2118310000000001</v>
      </c>
      <c r="M13" s="2">
        <f t="shared" si="1"/>
        <v>6.2118310000000001</v>
      </c>
      <c r="N13" s="2">
        <v>106.841646</v>
      </c>
      <c r="O13" s="3">
        <v>9733</v>
      </c>
      <c r="P13" s="3">
        <v>10061.387000000001</v>
      </c>
      <c r="Q13" s="3">
        <v>10286.636</v>
      </c>
      <c r="R13" s="6">
        <v>10517</v>
      </c>
      <c r="S13" s="134">
        <f t="shared" si="2"/>
        <v>9.2607482745200276</v>
      </c>
      <c r="T13" s="6">
        <v>270625.56699999998</v>
      </c>
      <c r="U13" s="3">
        <f t="shared" si="3"/>
        <v>270.62556699999999</v>
      </c>
      <c r="V13" s="6">
        <f t="shared" si="4"/>
        <v>5.6007361939046749</v>
      </c>
      <c r="W13" s="4">
        <f t="shared" si="5"/>
        <v>3.8861812343103561</v>
      </c>
      <c r="X13" s="4">
        <v>1.23839766616814</v>
      </c>
      <c r="Y13" s="11">
        <v>2.65</v>
      </c>
      <c r="Z13" s="4">
        <f t="shared" si="6"/>
        <v>0.46731987402571323</v>
      </c>
      <c r="AA13" s="143">
        <v>66150</v>
      </c>
      <c r="AB13" s="144">
        <f t="shared" si="7"/>
        <v>661.5</v>
      </c>
      <c r="AC13" s="145">
        <v>662</v>
      </c>
      <c r="AD13" s="2">
        <f t="shared" si="8"/>
        <v>6.4952655559370083</v>
      </c>
      <c r="AE13" s="6">
        <f t="shared" si="9"/>
        <v>15.886706948640484</v>
      </c>
      <c r="AF13" s="6">
        <f t="shared" si="10"/>
        <v>2.7654827185830202</v>
      </c>
      <c r="AG13" s="5">
        <v>1904569</v>
      </c>
      <c r="AH13" s="7">
        <f t="shared" si="11"/>
        <v>1904.569</v>
      </c>
      <c r="AI13" s="2">
        <f t="shared" si="12"/>
        <v>3.4758520169130128E-2</v>
      </c>
      <c r="AJ13" s="8">
        <f t="shared" si="13"/>
        <v>142.09281312464918</v>
      </c>
      <c r="AK13" s="134">
        <f t="shared" si="14"/>
        <v>4.9564804576428205</v>
      </c>
      <c r="AL13" s="8">
        <f t="shared" si="15"/>
        <v>111.80514059288885</v>
      </c>
      <c r="AM13" s="20">
        <v>1.042</v>
      </c>
      <c r="AN13" s="53">
        <v>200900000000</v>
      </c>
      <c r="AO13" s="20">
        <f t="shared" si="16"/>
        <v>200.9</v>
      </c>
      <c r="AP13" s="20">
        <f t="shared" si="17"/>
        <v>5.302807271820889</v>
      </c>
      <c r="AQ13" s="72">
        <f t="shared" si="18"/>
        <v>19530.194322031031</v>
      </c>
      <c r="AR13" s="72">
        <f t="shared" si="19"/>
        <v>9.8797169737460084</v>
      </c>
      <c r="AS13" s="72">
        <f t="shared" si="20"/>
        <v>19.280230326295587</v>
      </c>
      <c r="AT13" s="73">
        <v>321.3</v>
      </c>
      <c r="AU13" s="20">
        <f t="shared" si="21"/>
        <v>5.7723752661218128</v>
      </c>
      <c r="AV13" s="73">
        <f t="shared" si="62"/>
        <v>30.834932821497119</v>
      </c>
      <c r="AW13" s="53">
        <v>321315</v>
      </c>
      <c r="AX13" s="53">
        <v>9984</v>
      </c>
      <c r="AY13" s="53">
        <f>AW13*1000000/(P13*1000)</f>
        <v>31935.457805171394</v>
      </c>
      <c r="AZ13" s="53">
        <f t="shared" si="63"/>
        <v>108050.07219633435</v>
      </c>
      <c r="BA13" s="22">
        <f t="shared" si="22"/>
        <v>11.590350030110045</v>
      </c>
      <c r="BB13" s="53">
        <v>10503.92686164207</v>
      </c>
      <c r="BC13" s="22">
        <f t="shared" si="23"/>
        <v>9.2595044530530277</v>
      </c>
      <c r="BD13" s="22">
        <v>0.51992686164207047</v>
      </c>
      <c r="BE13" s="22">
        <f t="shared" si="64"/>
        <v>0.51992686164207047</v>
      </c>
      <c r="BF13" s="54">
        <v>5.2076007776649682</v>
      </c>
      <c r="BG13" s="54">
        <f>BE13*1000/AX13*100</f>
        <v>5.2076007776649682</v>
      </c>
      <c r="BH13" s="21">
        <v>11.256</v>
      </c>
      <c r="BI13" s="20">
        <f t="shared" si="24"/>
        <v>2.4209013198120881</v>
      </c>
      <c r="BJ13" s="22">
        <v>0.45700000000000002</v>
      </c>
      <c r="BK13" s="22">
        <v>0.70699999999999996</v>
      </c>
      <c r="BL13" s="23">
        <v>71.5</v>
      </c>
      <c r="BM13" s="24">
        <v>-14</v>
      </c>
      <c r="BN13" s="77">
        <v>0.58299999999999996</v>
      </c>
      <c r="BO13" s="77">
        <f t="shared" si="25"/>
        <v>0.124</v>
      </c>
      <c r="BP13" s="113">
        <v>1.7</v>
      </c>
      <c r="BQ13" s="77">
        <f t="shared" si="26"/>
        <v>0.53062825106217038</v>
      </c>
      <c r="BS13" s="9">
        <v>8536</v>
      </c>
      <c r="BT13" s="19">
        <v>29.1</v>
      </c>
      <c r="BU13" s="18">
        <v>35061</v>
      </c>
      <c r="BV13" s="60">
        <f t="shared" si="27"/>
        <v>10.464844680601267</v>
      </c>
      <c r="BW13" s="61">
        <f t="shared" si="66"/>
        <v>3333.7453646477134</v>
      </c>
      <c r="BX13" s="60">
        <f t="shared" si="28"/>
        <v>8.1118516850633746</v>
      </c>
      <c r="BY13" s="60">
        <f t="shared" si="29"/>
        <v>52.962235649546827</v>
      </c>
      <c r="BZ13" s="60">
        <f t="shared" si="30"/>
        <v>3.9695791246642584</v>
      </c>
      <c r="CA13" s="60">
        <f t="shared" si="31"/>
        <v>17.451966152314583</v>
      </c>
      <c r="CB13" s="60">
        <f t="shared" si="32"/>
        <v>2.8594523157863323</v>
      </c>
      <c r="CC13" s="18">
        <v>157935.98000000001</v>
      </c>
      <c r="CD13" s="18">
        <f t="shared" si="33"/>
        <v>43871.109065244003</v>
      </c>
      <c r="CE13" s="18">
        <f t="shared" si="34"/>
        <v>10.68901127456202</v>
      </c>
      <c r="CF13" s="18">
        <f t="shared" si="35"/>
        <v>41.600964058528362</v>
      </c>
      <c r="CG13" s="18">
        <f t="shared" si="36"/>
        <v>4507.4600909528408</v>
      </c>
      <c r="CH13" s="135">
        <f t="shared" si="37"/>
        <v>8.4134891011176638</v>
      </c>
      <c r="CI13" s="9">
        <v>379645</v>
      </c>
      <c r="CJ13" s="9">
        <f t="shared" si="38"/>
        <v>105456.952881</v>
      </c>
      <c r="CK13" s="135">
        <f t="shared" si="39"/>
        <v>11.566058119067563</v>
      </c>
      <c r="CL13" s="61">
        <f t="shared" si="40"/>
        <v>10834.989507962602</v>
      </c>
      <c r="CM13" s="135">
        <f t="shared" si="41"/>
        <v>9.2905359456232066</v>
      </c>
      <c r="CN13" s="61">
        <f t="shared" si="42"/>
        <v>41.600964058528362</v>
      </c>
      <c r="CO13" s="113">
        <v>2.2999999999999998</v>
      </c>
      <c r="CP13" s="129">
        <v>36351</v>
      </c>
      <c r="CQ13" s="136">
        <v>83.7</v>
      </c>
      <c r="CR13" s="77">
        <f t="shared" si="43"/>
        <v>0.83290912293510388</v>
      </c>
      <c r="CS13" s="25">
        <v>1.7</v>
      </c>
      <c r="CT13" s="2">
        <f t="shared" si="44"/>
        <v>0.53062825106217038</v>
      </c>
      <c r="CU13" s="7">
        <f t="shared" si="45"/>
        <v>17878.899999999998</v>
      </c>
      <c r="CV13" s="2">
        <f t="shared" si="46"/>
        <v>9.7913765255821978</v>
      </c>
      <c r="CW13" s="14">
        <f t="shared" si="47"/>
        <v>178.78899999999999</v>
      </c>
      <c r="CX13" s="2">
        <f t="shared" si="48"/>
        <v>5.1862063395941078</v>
      </c>
      <c r="CY13" s="2">
        <f t="shared" si="49"/>
        <v>9.3873732062214596E-2</v>
      </c>
      <c r="CZ13" s="13">
        <f t="shared" si="50"/>
        <v>270.07401812688823</v>
      </c>
      <c r="DA13" s="2">
        <f t="shared" si="51"/>
        <v>5.5986960626392364</v>
      </c>
      <c r="DB13" s="64">
        <v>3.07</v>
      </c>
      <c r="DC13" s="64">
        <v>-0.19</v>
      </c>
      <c r="DD13" s="64">
        <v>4.5999999999999996</v>
      </c>
      <c r="DE13" s="64">
        <v>-0.43</v>
      </c>
      <c r="DF13" s="64">
        <v>2.78</v>
      </c>
      <c r="DG13" s="64">
        <v>-0.12</v>
      </c>
      <c r="DH13" s="65">
        <v>27.366666666666671</v>
      </c>
      <c r="DJ13" s="67">
        <v>27.666666666666668</v>
      </c>
      <c r="DK13" s="15">
        <v>11.366666666666671</v>
      </c>
      <c r="DL13" s="15">
        <f t="shared" si="52"/>
        <v>11.366666666666671</v>
      </c>
      <c r="DM13" s="13"/>
      <c r="DP13" s="12">
        <v>2.2000000000000002</v>
      </c>
      <c r="DR13" s="13">
        <f t="shared" si="65"/>
        <v>2.2000000000000002</v>
      </c>
      <c r="DS13" s="16">
        <v>27</v>
      </c>
      <c r="DT13" s="16">
        <v>30</v>
      </c>
      <c r="DU13" s="16">
        <v>23</v>
      </c>
      <c r="DV13" s="17">
        <v>1855</v>
      </c>
      <c r="DW13" s="17">
        <v>8</v>
      </c>
      <c r="DX13" s="77">
        <f t="shared" si="53"/>
        <v>2.0794415416798357</v>
      </c>
      <c r="DY13" s="17">
        <v>9608000</v>
      </c>
      <c r="DZ13" s="17">
        <f t="shared" si="54"/>
        <v>9608</v>
      </c>
      <c r="EA13" s="129">
        <f t="shared" si="55"/>
        <v>9.1703513637598189</v>
      </c>
      <c r="EB13" s="17">
        <v>30214000</v>
      </c>
      <c r="EC13" s="17">
        <f t="shared" si="56"/>
        <v>30214</v>
      </c>
      <c r="ED13" s="126">
        <f t="shared" si="57"/>
        <v>10.316060672103671</v>
      </c>
      <c r="EE13" s="123">
        <f t="shared" si="58"/>
        <v>0.31799827894353611</v>
      </c>
      <c r="EF13" s="123">
        <f t="shared" si="59"/>
        <v>3.1446711074104914</v>
      </c>
      <c r="EG13" s="77">
        <f t="shared" si="60"/>
        <v>1.1457093083438508</v>
      </c>
      <c r="EH13" s="113">
        <v>31.1</v>
      </c>
      <c r="EI13" s="77">
        <v>0.60299999999999998</v>
      </c>
      <c r="EJ13" s="77">
        <v>9.9000000000000005E-2</v>
      </c>
      <c r="EK13" s="77">
        <f t="shared" si="61"/>
        <v>-2.312635428847547</v>
      </c>
      <c r="EL13" s="16">
        <v>0</v>
      </c>
    </row>
    <row r="14" spans="1:142" x14ac:dyDescent="0.3">
      <c r="A14" s="30">
        <f t="shared" si="0"/>
        <v>13</v>
      </c>
      <c r="B14" s="1" t="s">
        <v>22</v>
      </c>
      <c r="C14" s="1" t="s">
        <v>23</v>
      </c>
      <c r="D14" s="149" t="s">
        <v>1</v>
      </c>
      <c r="E14" s="16">
        <v>0</v>
      </c>
      <c r="F14" s="16">
        <v>1</v>
      </c>
      <c r="G14" s="16">
        <v>0</v>
      </c>
      <c r="H14" s="16">
        <v>0</v>
      </c>
      <c r="I14" s="16">
        <v>0</v>
      </c>
      <c r="K14" s="17">
        <v>113</v>
      </c>
      <c r="L14" s="2">
        <v>24.9056</v>
      </c>
      <c r="M14" s="2">
        <f t="shared" si="1"/>
        <v>24.9056</v>
      </c>
      <c r="N14" s="2">
        <v>67.0822</v>
      </c>
      <c r="O14" s="3">
        <v>12931</v>
      </c>
      <c r="P14" s="3">
        <v>13936.754000000001</v>
      </c>
      <c r="Q14" s="3">
        <v>14650.981</v>
      </c>
      <c r="R14" s="6">
        <v>15400</v>
      </c>
      <c r="S14" s="134">
        <f t="shared" si="2"/>
        <v>9.6421227884017213</v>
      </c>
      <c r="T14" s="6">
        <v>216565.31700000001</v>
      </c>
      <c r="U14" s="3">
        <f t="shared" si="3"/>
        <v>216.56531700000002</v>
      </c>
      <c r="V14" s="6">
        <f t="shared" si="4"/>
        <v>5.3778921970918301</v>
      </c>
      <c r="W14" s="4">
        <f t="shared" si="5"/>
        <v>7.1110186124586141</v>
      </c>
      <c r="X14" s="4">
        <v>2.4971698049262292</v>
      </c>
      <c r="Y14" s="11">
        <v>2.1800000000000002</v>
      </c>
      <c r="Z14" s="4">
        <f t="shared" si="6"/>
        <v>1.1454907362046922</v>
      </c>
      <c r="AA14" s="17">
        <v>45367</v>
      </c>
      <c r="AB14" s="126">
        <f t="shared" si="7"/>
        <v>453.67</v>
      </c>
      <c r="AC14" s="14">
        <v>453.27</v>
      </c>
      <c r="AD14" s="2">
        <f t="shared" si="8"/>
        <v>6.1164879744198588</v>
      </c>
      <c r="AE14" s="6">
        <f t="shared" si="9"/>
        <v>33.975334789419108</v>
      </c>
      <c r="AF14" s="6">
        <f t="shared" si="10"/>
        <v>3.5256348139818612</v>
      </c>
      <c r="AG14" s="5">
        <v>796095</v>
      </c>
      <c r="AH14" s="7">
        <f t="shared" si="11"/>
        <v>796.09500000000003</v>
      </c>
      <c r="AI14" s="2">
        <f t="shared" si="12"/>
        <v>5.693667213083866E-2</v>
      </c>
      <c r="AJ14" s="8">
        <f t="shared" si="13"/>
        <v>272.03451472500143</v>
      </c>
      <c r="AK14" s="134">
        <f t="shared" si="14"/>
        <v>5.6059289506171703</v>
      </c>
      <c r="AL14" s="8">
        <f t="shared" si="15"/>
        <v>124.89347105004171</v>
      </c>
      <c r="AM14" s="20">
        <v>0.31459999999999999</v>
      </c>
      <c r="AN14" s="53">
        <v>114000000000</v>
      </c>
      <c r="AO14" s="20">
        <f t="shared" si="16"/>
        <v>114</v>
      </c>
      <c r="AP14" s="20">
        <f t="shared" si="17"/>
        <v>4.7361984483944957</v>
      </c>
      <c r="AQ14" s="72">
        <f t="shared" si="18"/>
        <v>7781.0489277134411</v>
      </c>
      <c r="AR14" s="72">
        <f t="shared" si="19"/>
        <v>8.9594464316981028</v>
      </c>
      <c r="AS14" s="72">
        <f t="shared" si="20"/>
        <v>36.236490781945328</v>
      </c>
      <c r="AU14" s="20" t="str">
        <f t="shared" si="21"/>
        <v/>
      </c>
      <c r="AW14" s="53"/>
      <c r="AX14" s="53"/>
      <c r="AY14" s="53"/>
      <c r="AZ14" s="53"/>
      <c r="BA14" s="22" t="str">
        <f t="shared" si="22"/>
        <v/>
      </c>
      <c r="BB14" s="53"/>
      <c r="BC14" s="22" t="str">
        <f t="shared" si="23"/>
        <v/>
      </c>
      <c r="BG14" s="54"/>
      <c r="BH14" s="21">
        <v>5.19</v>
      </c>
      <c r="BI14" s="20">
        <f t="shared" si="24"/>
        <v>1.6467336971777973</v>
      </c>
      <c r="BJ14" s="22">
        <v>0.36200000000000004</v>
      </c>
      <c r="BK14" s="22">
        <v>0.56000000000000005</v>
      </c>
      <c r="BL14" s="23">
        <v>67.099999999999994</v>
      </c>
      <c r="BM14" s="24">
        <v>-17</v>
      </c>
      <c r="BN14" s="77">
        <v>0.38600000000000001</v>
      </c>
      <c r="BO14" s="77">
        <f t="shared" si="25"/>
        <v>0.17400000000000004</v>
      </c>
      <c r="BP14" s="113">
        <v>1.4</v>
      </c>
      <c r="BQ14" s="77">
        <f t="shared" si="26"/>
        <v>0.33647223662121289</v>
      </c>
      <c r="BR14" s="113">
        <v>1</v>
      </c>
      <c r="BS14" s="9">
        <v>4552</v>
      </c>
      <c r="BT14" s="19">
        <v>17.7</v>
      </c>
      <c r="BU14" s="18">
        <v>20690</v>
      </c>
      <c r="BV14" s="60">
        <f t="shared" si="27"/>
        <v>9.9374057707395895</v>
      </c>
      <c r="BW14" s="61">
        <f t="shared" si="66"/>
        <v>1343.5064935064936</v>
      </c>
      <c r="BX14" s="60">
        <f t="shared" si="28"/>
        <v>7.203038261320005</v>
      </c>
      <c r="BY14" s="60">
        <f t="shared" si="29"/>
        <v>45.646082908641652</v>
      </c>
      <c r="BZ14" s="60">
        <f t="shared" si="30"/>
        <v>3.8209177963197294</v>
      </c>
      <c r="CA14" s="60">
        <f t="shared" si="31"/>
        <v>18.149122807017545</v>
      </c>
      <c r="CB14" s="60">
        <f t="shared" si="32"/>
        <v>2.8986222293510475</v>
      </c>
      <c r="CC14" s="18">
        <v>49863.97</v>
      </c>
      <c r="CD14" s="18">
        <f t="shared" si="33"/>
        <v>13851.103885866001</v>
      </c>
      <c r="CE14" s="18">
        <f t="shared" si="34"/>
        <v>9.5361202113899868</v>
      </c>
      <c r="CF14" s="18">
        <f t="shared" si="35"/>
        <v>15.708997142614114</v>
      </c>
      <c r="CG14" s="18">
        <f t="shared" si="36"/>
        <v>1071.1548902533448</v>
      </c>
      <c r="CH14" s="135">
        <f t="shared" si="37"/>
        <v>6.9764926820762723</v>
      </c>
      <c r="CI14" s="9">
        <v>317423</v>
      </c>
      <c r="CJ14" s="9">
        <f t="shared" si="38"/>
        <v>88173.062609400004</v>
      </c>
      <c r="CK14" s="135">
        <f t="shared" si="39"/>
        <v>11.387056782755122</v>
      </c>
      <c r="CL14" s="61">
        <f t="shared" si="40"/>
        <v>6818.7350250870013</v>
      </c>
      <c r="CM14" s="135">
        <f t="shared" si="41"/>
        <v>8.8274292534414069</v>
      </c>
      <c r="CN14" s="61">
        <f t="shared" si="42"/>
        <v>15.708997142614114</v>
      </c>
      <c r="CO14" s="113">
        <v>0.7</v>
      </c>
      <c r="CP14" s="129">
        <v>12561</v>
      </c>
      <c r="CQ14" s="136">
        <v>9</v>
      </c>
      <c r="CR14" s="77">
        <f t="shared" si="43"/>
        <v>-0.35667494393873245</v>
      </c>
      <c r="CS14" s="25">
        <v>0.8</v>
      </c>
      <c r="CT14" s="2">
        <f t="shared" si="44"/>
        <v>-0.22314355131420971</v>
      </c>
      <c r="CU14" s="7">
        <f t="shared" si="45"/>
        <v>12320</v>
      </c>
      <c r="CV14" s="2">
        <f t="shared" si="46"/>
        <v>9.4189792370875107</v>
      </c>
      <c r="CW14" s="14">
        <f t="shared" si="47"/>
        <v>123.2</v>
      </c>
      <c r="CX14" s="2">
        <f t="shared" si="48"/>
        <v>4.8138090510994198</v>
      </c>
      <c r="CY14" s="2">
        <f t="shared" si="49"/>
        <v>0.15475539979525058</v>
      </c>
      <c r="CZ14" s="13">
        <f t="shared" si="50"/>
        <v>271.80267831535286</v>
      </c>
      <c r="DA14" s="2">
        <f t="shared" si="51"/>
        <v>5.6050763556616969</v>
      </c>
      <c r="DB14" s="64">
        <v>-0.25</v>
      </c>
      <c r="DC14" s="64">
        <v>1.1399999999999999</v>
      </c>
      <c r="DD14" s="64">
        <v>0.16</v>
      </c>
      <c r="DE14" s="64">
        <v>0.13</v>
      </c>
      <c r="DF14" s="64">
        <v>-0.64</v>
      </c>
      <c r="DG14" s="64">
        <v>1.95</v>
      </c>
      <c r="DH14" s="65">
        <v>21</v>
      </c>
      <c r="DI14" s="15">
        <v>0</v>
      </c>
      <c r="DJ14" s="67">
        <v>31.3</v>
      </c>
      <c r="DK14" s="15">
        <v>15.3</v>
      </c>
      <c r="DL14" s="15">
        <f t="shared" si="52"/>
        <v>15.3</v>
      </c>
      <c r="DM14" s="13">
        <v>2.5</v>
      </c>
      <c r="DR14" s="13">
        <f t="shared" si="65"/>
        <v>2.5</v>
      </c>
      <c r="DS14" s="16">
        <v>26</v>
      </c>
      <c r="DT14" s="16">
        <v>30</v>
      </c>
      <c r="DU14" s="16">
        <v>22</v>
      </c>
      <c r="DV14" s="17">
        <v>210</v>
      </c>
      <c r="DW14" s="17">
        <v>18</v>
      </c>
      <c r="DX14" s="77">
        <f t="shared" si="53"/>
        <v>2.8903717578961645</v>
      </c>
      <c r="DY14" s="17">
        <v>18000000</v>
      </c>
      <c r="DZ14" s="17">
        <f t="shared" si="54"/>
        <v>18000</v>
      </c>
      <c r="EA14" s="129">
        <f t="shared" si="55"/>
        <v>9.7981270368783022</v>
      </c>
      <c r="EB14" s="17">
        <v>27506000</v>
      </c>
      <c r="EC14" s="17">
        <f t="shared" si="56"/>
        <v>27506</v>
      </c>
      <c r="ED14" s="126">
        <f t="shared" si="57"/>
        <v>10.222159441674654</v>
      </c>
      <c r="EE14" s="123">
        <f t="shared" si="58"/>
        <v>0.6544026757798298</v>
      </c>
      <c r="EF14" s="123">
        <f t="shared" si="59"/>
        <v>1.5281111111111112</v>
      </c>
      <c r="EG14" s="77">
        <f t="shared" si="60"/>
        <v>0.4240324047963514</v>
      </c>
      <c r="EH14" s="113">
        <v>22</v>
      </c>
      <c r="EI14" s="77">
        <v>0.372</v>
      </c>
      <c r="EJ14" s="77">
        <v>5.7000000000000002E-2</v>
      </c>
      <c r="EK14" s="77">
        <f t="shared" si="61"/>
        <v>-2.864704011147587</v>
      </c>
      <c r="EL14" s="16">
        <v>1</v>
      </c>
    </row>
    <row r="15" spans="1:142" x14ac:dyDescent="0.3">
      <c r="A15" s="30">
        <f t="shared" si="0"/>
        <v>14</v>
      </c>
      <c r="B15" s="1" t="s">
        <v>13</v>
      </c>
      <c r="C15" s="1" t="s">
        <v>0</v>
      </c>
      <c r="D15" s="149" t="s">
        <v>1</v>
      </c>
      <c r="E15" s="16">
        <v>0</v>
      </c>
      <c r="F15" s="16">
        <v>1</v>
      </c>
      <c r="G15" s="16">
        <v>0</v>
      </c>
      <c r="H15" s="16">
        <v>0</v>
      </c>
      <c r="I15" s="16">
        <v>0</v>
      </c>
      <c r="J15" s="17">
        <v>21</v>
      </c>
      <c r="K15" s="17">
        <v>668</v>
      </c>
      <c r="L15" s="2">
        <v>22.533455</v>
      </c>
      <c r="M15" s="2">
        <f t="shared" si="1"/>
        <v>22.533455</v>
      </c>
      <c r="N15" s="2">
        <v>88.356044999999995</v>
      </c>
      <c r="O15" s="3">
        <v>14086</v>
      </c>
      <c r="P15" s="3">
        <v>14337.7</v>
      </c>
      <c r="Q15" s="3">
        <v>14508.143</v>
      </c>
      <c r="R15" s="6">
        <v>14681</v>
      </c>
      <c r="S15" s="134">
        <f t="shared" si="2"/>
        <v>9.5943094197394601</v>
      </c>
      <c r="T15" s="6">
        <v>1366417.7560000001</v>
      </c>
      <c r="U15" s="3">
        <f t="shared" si="3"/>
        <v>1366.4177560000001</v>
      </c>
      <c r="V15" s="6">
        <f t="shared" si="4"/>
        <v>7.2199478176805538</v>
      </c>
      <c r="W15" s="4">
        <f t="shared" si="5"/>
        <v>1.0744151951725662</v>
      </c>
      <c r="X15" s="4">
        <v>0.6</v>
      </c>
      <c r="Y15" s="11">
        <v>1.33</v>
      </c>
      <c r="Z15" s="4">
        <f t="shared" si="6"/>
        <v>0.45112781954887216</v>
      </c>
      <c r="AA15" s="17">
        <v>96868</v>
      </c>
      <c r="AB15" s="126">
        <f t="shared" si="7"/>
        <v>968.68000000000006</v>
      </c>
      <c r="AC15" s="14">
        <v>968.68</v>
      </c>
      <c r="AD15" s="2">
        <f t="shared" si="8"/>
        <v>6.8759343199923011</v>
      </c>
      <c r="AE15" s="6">
        <f t="shared" si="9"/>
        <v>15.155675764958501</v>
      </c>
      <c r="AF15" s="6">
        <f t="shared" si="10"/>
        <v>2.7183750997471594</v>
      </c>
      <c r="AG15" s="5">
        <v>3287263</v>
      </c>
      <c r="AH15" s="7">
        <f t="shared" si="11"/>
        <v>3287.2629999999999</v>
      </c>
      <c r="AI15" s="2">
        <f t="shared" si="12"/>
        <v>2.9467675692513802E-2</v>
      </c>
      <c r="AJ15" s="8">
        <f t="shared" si="13"/>
        <v>415.6703482502009</v>
      </c>
      <c r="AK15" s="134">
        <f t="shared" si="14"/>
        <v>6.0298925140301236</v>
      </c>
      <c r="AL15" s="8">
        <f t="shared" si="15"/>
        <v>36.460805608958118</v>
      </c>
      <c r="AM15" s="20">
        <v>2.7189999999999999</v>
      </c>
      <c r="AN15" s="53">
        <v>150000000000</v>
      </c>
      <c r="AO15" s="20">
        <f t="shared" si="16"/>
        <v>150</v>
      </c>
      <c r="AP15" s="20">
        <f t="shared" si="17"/>
        <v>5.0106352940962555</v>
      </c>
      <c r="AQ15" s="72">
        <f t="shared" si="18"/>
        <v>10339.021334432669</v>
      </c>
      <c r="AR15" s="72">
        <f t="shared" si="19"/>
        <v>9.2436804950754894</v>
      </c>
      <c r="AS15" s="72">
        <f t="shared" si="20"/>
        <v>5.516734093416698</v>
      </c>
      <c r="AT15" s="73">
        <v>150</v>
      </c>
      <c r="AU15" s="20">
        <f t="shared" si="21"/>
        <v>5.0106352940962555</v>
      </c>
      <c r="AV15" s="73">
        <f>AT15*1000000000/(AM15*1000000000000)*100</f>
        <v>5.516734093416698</v>
      </c>
      <c r="AW15" s="53">
        <v>60447</v>
      </c>
      <c r="AX15" s="53">
        <v>4036</v>
      </c>
      <c r="AY15" s="53">
        <f>AW15*1000000/(P15*1000)</f>
        <v>4215.948164628915</v>
      </c>
      <c r="AZ15" s="53">
        <f>Q15*BB15/1000</f>
        <v>71612.19384800001</v>
      </c>
      <c r="BA15" s="22">
        <f t="shared" si="22"/>
        <v>11.179020643588128</v>
      </c>
      <c r="BB15" s="53">
        <v>4936</v>
      </c>
      <c r="BC15" s="22">
        <f t="shared" si="23"/>
        <v>8.5043105655852234</v>
      </c>
      <c r="BD15" s="22">
        <v>0.9</v>
      </c>
      <c r="BE15" s="22">
        <f>(BB15-AX15)/1000</f>
        <v>0.9</v>
      </c>
      <c r="BF15" s="54">
        <v>22.299306243805749</v>
      </c>
      <c r="BG15" s="54">
        <f>BE15*1000/AX15*100</f>
        <v>22.299306243805749</v>
      </c>
      <c r="BH15" s="21">
        <v>6.8289999999999997</v>
      </c>
      <c r="BI15" s="20">
        <f t="shared" si="24"/>
        <v>1.9211782499789523</v>
      </c>
      <c r="BJ15" s="22">
        <v>0.47899999999999998</v>
      </c>
      <c r="BK15" s="22">
        <v>0.64700000000000002</v>
      </c>
      <c r="BL15" s="23">
        <v>69.400000000000006</v>
      </c>
      <c r="BM15" s="24">
        <v>-5</v>
      </c>
      <c r="BN15" s="77">
        <v>0.53800000000000003</v>
      </c>
      <c r="BO15" s="77">
        <f t="shared" si="25"/>
        <v>0.10899999999999999</v>
      </c>
      <c r="BP15" s="113">
        <v>1.5</v>
      </c>
      <c r="BQ15" s="77">
        <f t="shared" si="26"/>
        <v>0.40546510810816438</v>
      </c>
      <c r="BS15" s="9">
        <v>6839</v>
      </c>
      <c r="BT15" s="19">
        <v>25</v>
      </c>
      <c r="BU15" s="18">
        <v>12383</v>
      </c>
      <c r="BV15" s="60">
        <f t="shared" si="27"/>
        <v>9.4240798432150985</v>
      </c>
      <c r="BW15" s="61">
        <f t="shared" si="66"/>
        <v>843.47115319119951</v>
      </c>
      <c r="BX15" s="60">
        <f t="shared" si="28"/>
        <v>6.7375257024577753</v>
      </c>
      <c r="BY15" s="60">
        <f t="shared" si="29"/>
        <v>12.783375314861461</v>
      </c>
      <c r="BZ15" s="60">
        <f t="shared" si="30"/>
        <v>2.5481455232227979</v>
      </c>
      <c r="CA15" s="60">
        <f t="shared" si="31"/>
        <v>8.2553333333333327</v>
      </c>
      <c r="CB15" s="60">
        <f t="shared" si="32"/>
        <v>2.1108594561247971</v>
      </c>
      <c r="CC15" s="18">
        <v>17946.580000000002</v>
      </c>
      <c r="CD15" s="18">
        <f t="shared" si="33"/>
        <v>4985.1615099240007</v>
      </c>
      <c r="CE15" s="18">
        <f t="shared" si="34"/>
        <v>8.514221081053444</v>
      </c>
      <c r="CF15" s="18">
        <f t="shared" si="35"/>
        <v>26.057497132403117</v>
      </c>
      <c r="CG15" s="18">
        <f t="shared" si="36"/>
        <v>353.90895285560134</v>
      </c>
      <c r="CH15" s="135">
        <f t="shared" si="37"/>
        <v>5.8690396847302253</v>
      </c>
      <c r="CI15" s="9">
        <v>68873</v>
      </c>
      <c r="CJ15" s="9">
        <f t="shared" si="38"/>
        <v>19131.390419400002</v>
      </c>
      <c r="CK15" s="135">
        <f t="shared" si="39"/>
        <v>9.8590857424590119</v>
      </c>
      <c r="CL15" s="61">
        <f t="shared" si="40"/>
        <v>1358.1847521936677</v>
      </c>
      <c r="CM15" s="135">
        <f t="shared" si="41"/>
        <v>7.2139043461357932</v>
      </c>
      <c r="CN15" s="61">
        <f t="shared" si="42"/>
        <v>26.057497132403117</v>
      </c>
      <c r="CO15" s="113">
        <v>1.7</v>
      </c>
      <c r="CP15" s="129">
        <v>24792</v>
      </c>
      <c r="CQ15" s="136">
        <v>42.9</v>
      </c>
      <c r="CR15" s="77">
        <f t="shared" si="43"/>
        <v>0.53062825106217038</v>
      </c>
      <c r="CS15" s="25">
        <v>1.2</v>
      </c>
      <c r="CT15" s="2">
        <f t="shared" si="44"/>
        <v>0.18232155679395459</v>
      </c>
      <c r="CU15" s="7">
        <f t="shared" si="45"/>
        <v>17617.2</v>
      </c>
      <c r="CV15" s="2">
        <f t="shared" si="46"/>
        <v>9.776630976533415</v>
      </c>
      <c r="CW15" s="14">
        <f t="shared" si="47"/>
        <v>176.172</v>
      </c>
      <c r="CX15" s="2">
        <f t="shared" si="48"/>
        <v>5.1714607905453231</v>
      </c>
      <c r="CY15" s="2">
        <f t="shared" si="49"/>
        <v>5.3592304601122576E-2</v>
      </c>
      <c r="CZ15" s="13">
        <f t="shared" si="50"/>
        <v>181.868109179502</v>
      </c>
      <c r="DA15" s="2">
        <f t="shared" si="51"/>
        <v>5.2032817495351598</v>
      </c>
      <c r="DB15" s="64">
        <v>1.34</v>
      </c>
      <c r="DC15" s="64">
        <v>1.3</v>
      </c>
      <c r="DD15" s="64">
        <v>1.96</v>
      </c>
      <c r="DE15" s="64">
        <v>0.45</v>
      </c>
      <c r="DF15" s="64">
        <v>0.98</v>
      </c>
      <c r="DG15" s="64">
        <v>1.75</v>
      </c>
      <c r="DH15" s="65">
        <v>20.533333333333335</v>
      </c>
      <c r="DI15" s="15">
        <v>0</v>
      </c>
      <c r="DJ15" s="67">
        <v>30.433333333333334</v>
      </c>
      <c r="DK15" s="15">
        <v>14.433333333333334</v>
      </c>
      <c r="DL15" s="15">
        <f t="shared" si="52"/>
        <v>14.433333333333334</v>
      </c>
      <c r="DM15" s="13">
        <v>3.54</v>
      </c>
      <c r="DN15" s="12">
        <v>8.8000000000000007</v>
      </c>
      <c r="DP15" s="12">
        <v>2.08</v>
      </c>
      <c r="DR15" s="13">
        <f t="shared" si="65"/>
        <v>4.8066666666666666</v>
      </c>
      <c r="DS15" s="16">
        <v>26.7</v>
      </c>
      <c r="DT15" s="16">
        <v>31.3</v>
      </c>
      <c r="DU15" s="16">
        <v>22.2</v>
      </c>
      <c r="DV15" s="17">
        <v>1585.7</v>
      </c>
      <c r="DW15" s="17">
        <v>16</v>
      </c>
      <c r="DX15" s="77">
        <f t="shared" si="53"/>
        <v>2.7725887222397811</v>
      </c>
      <c r="DY15" s="17">
        <v>4497000</v>
      </c>
      <c r="DZ15" s="17">
        <f t="shared" si="54"/>
        <v>4497</v>
      </c>
      <c r="EA15" s="129">
        <f t="shared" si="55"/>
        <v>8.4111657867707077</v>
      </c>
      <c r="EB15" s="17">
        <v>14618000</v>
      </c>
      <c r="EC15" s="17">
        <f t="shared" si="56"/>
        <v>14618</v>
      </c>
      <c r="ED15" s="126">
        <f t="shared" si="57"/>
        <v>9.5900089250403369</v>
      </c>
      <c r="EE15" s="123">
        <f t="shared" si="58"/>
        <v>0.30763442331372282</v>
      </c>
      <c r="EF15" s="123">
        <f t="shared" si="59"/>
        <v>3.2506115187903046</v>
      </c>
      <c r="EG15" s="77">
        <f t="shared" si="60"/>
        <v>1.1788431382696296</v>
      </c>
      <c r="EH15" s="113">
        <v>28.7</v>
      </c>
      <c r="EI15" s="77">
        <v>0.47299999999999998</v>
      </c>
      <c r="EJ15" s="77">
        <v>8.2000000000000003E-2</v>
      </c>
      <c r="EK15" s="77">
        <f t="shared" si="61"/>
        <v>-2.5010360317178839</v>
      </c>
      <c r="EL15" s="16">
        <v>0</v>
      </c>
    </row>
    <row r="16" spans="1:142" x14ac:dyDescent="0.3">
      <c r="A16" s="30">
        <f t="shared" si="0"/>
        <v>15</v>
      </c>
      <c r="B16" s="1" t="s">
        <v>27</v>
      </c>
      <c r="C16" s="1" t="s">
        <v>23</v>
      </c>
      <c r="D16" s="149" t="s">
        <v>1</v>
      </c>
      <c r="E16" s="16">
        <v>0</v>
      </c>
      <c r="F16" s="16">
        <v>1</v>
      </c>
      <c r="G16" s="16">
        <v>0</v>
      </c>
      <c r="H16" s="16">
        <v>0</v>
      </c>
      <c r="I16" s="16">
        <v>0</v>
      </c>
      <c r="K16" s="17">
        <v>37</v>
      </c>
      <c r="L16" s="2">
        <v>31.549721999999999</v>
      </c>
      <c r="M16" s="2">
        <f t="shared" si="1"/>
        <v>31.549721999999999</v>
      </c>
      <c r="N16" s="2">
        <v>74.343610999999996</v>
      </c>
      <c r="O16" s="3">
        <v>8788</v>
      </c>
      <c r="P16" s="3">
        <v>9949.0490000000009</v>
      </c>
      <c r="Q16" s="3">
        <v>10807.578</v>
      </c>
      <c r="R16" s="6">
        <v>11738</v>
      </c>
      <c r="S16" s="134">
        <f t="shared" si="2"/>
        <v>9.3705867211182792</v>
      </c>
      <c r="T16" s="6">
        <v>216565.31700000001</v>
      </c>
      <c r="U16" s="3">
        <f t="shared" si="3"/>
        <v>216.56531700000002</v>
      </c>
      <c r="V16" s="6">
        <f t="shared" si="4"/>
        <v>5.3778921970918301</v>
      </c>
      <c r="W16" s="4">
        <f t="shared" si="5"/>
        <v>5.4200737969505983</v>
      </c>
      <c r="X16" s="4">
        <v>4.1356829058458686</v>
      </c>
      <c r="Y16" s="11">
        <v>2.1800000000000002</v>
      </c>
      <c r="Z16" s="4">
        <f t="shared" si="6"/>
        <v>1.8971022503880131</v>
      </c>
      <c r="AA16" s="17">
        <v>37142</v>
      </c>
      <c r="AB16" s="126">
        <f t="shared" si="7"/>
        <v>371.42</v>
      </c>
      <c r="AC16" s="14">
        <v>371.42</v>
      </c>
      <c r="AD16" s="2">
        <f t="shared" si="8"/>
        <v>5.9173334977649068</v>
      </c>
      <c r="AE16" s="6">
        <f t="shared" si="9"/>
        <v>31.603036993161378</v>
      </c>
      <c r="AF16" s="6">
        <f t="shared" si="10"/>
        <v>3.4532532233533728</v>
      </c>
      <c r="AG16" s="5">
        <v>796095</v>
      </c>
      <c r="AH16" s="7">
        <f t="shared" si="11"/>
        <v>796.09500000000003</v>
      </c>
      <c r="AI16" s="2">
        <f t="shared" si="12"/>
        <v>4.6655235870090885E-2</v>
      </c>
      <c r="AJ16" s="8">
        <f t="shared" si="13"/>
        <v>272.03451472500143</v>
      </c>
      <c r="AK16" s="134">
        <f t="shared" si="14"/>
        <v>5.6059289506171703</v>
      </c>
      <c r="AL16" s="8">
        <f t="shared" si="15"/>
        <v>116.17289455019618</v>
      </c>
      <c r="AM16" s="20">
        <v>0.31459999999999999</v>
      </c>
      <c r="AN16" s="53">
        <v>65140000000</v>
      </c>
      <c r="AO16" s="20">
        <f t="shared" si="16"/>
        <v>65.14</v>
      </c>
      <c r="AP16" s="20">
        <f t="shared" si="17"/>
        <v>4.1765387998480872</v>
      </c>
      <c r="AQ16" s="72">
        <f t="shared" si="18"/>
        <v>6027.2523594092963</v>
      </c>
      <c r="AR16" s="72">
        <f t="shared" si="19"/>
        <v>8.7040465240863476</v>
      </c>
      <c r="AS16" s="72">
        <f t="shared" si="20"/>
        <v>20.705657978385251</v>
      </c>
      <c r="AU16" s="20" t="str">
        <f t="shared" si="21"/>
        <v/>
      </c>
      <c r="AW16" s="53"/>
      <c r="AX16" s="53"/>
      <c r="AY16" s="53"/>
      <c r="AZ16" s="53"/>
      <c r="BA16" s="22" t="str">
        <f t="shared" si="22"/>
        <v/>
      </c>
      <c r="BB16" s="53"/>
      <c r="BC16" s="22" t="str">
        <f t="shared" si="23"/>
        <v/>
      </c>
      <c r="BF16" s="54">
        <v>0</v>
      </c>
      <c r="BG16" s="54"/>
      <c r="BH16" s="21">
        <v>5.19</v>
      </c>
      <c r="BI16" s="20">
        <f t="shared" si="24"/>
        <v>1.6467336971777973</v>
      </c>
      <c r="BJ16" s="22">
        <v>0.36200000000000004</v>
      </c>
      <c r="BK16" s="22">
        <v>0.56000000000000005</v>
      </c>
      <c r="BL16" s="23">
        <v>67.099999999999994</v>
      </c>
      <c r="BM16" s="24">
        <v>-17</v>
      </c>
      <c r="BN16" s="77">
        <v>0.38600000000000001</v>
      </c>
      <c r="BO16" s="77">
        <f t="shared" si="25"/>
        <v>0.17400000000000004</v>
      </c>
      <c r="BP16" s="113">
        <v>1.4</v>
      </c>
      <c r="BQ16" s="77">
        <f t="shared" si="26"/>
        <v>0.33647223662121289</v>
      </c>
      <c r="BS16" s="9">
        <v>4552</v>
      </c>
      <c r="BT16" s="19">
        <v>17.7</v>
      </c>
      <c r="BV16" s="60" t="str">
        <f t="shared" si="27"/>
        <v/>
      </c>
      <c r="BW16" s="61"/>
      <c r="BX16" s="60" t="str">
        <f t="shared" si="28"/>
        <v/>
      </c>
      <c r="BY16" s="60" t="str">
        <f t="shared" si="29"/>
        <v/>
      </c>
      <c r="BZ16" s="60" t="str">
        <f t="shared" si="30"/>
        <v/>
      </c>
      <c r="CA16" s="60" t="str">
        <f t="shared" si="31"/>
        <v/>
      </c>
      <c r="CB16" s="60" t="str">
        <f t="shared" si="32"/>
        <v/>
      </c>
      <c r="CD16" s="18" t="str">
        <f t="shared" si="33"/>
        <v/>
      </c>
      <c r="CE16" s="18" t="str">
        <f t="shared" si="34"/>
        <v/>
      </c>
      <c r="CF16" s="18" t="str">
        <f t="shared" si="35"/>
        <v/>
      </c>
      <c r="CG16" s="18" t="str">
        <f t="shared" si="36"/>
        <v/>
      </c>
      <c r="CH16" s="135" t="str">
        <f t="shared" si="37"/>
        <v/>
      </c>
      <c r="CJ16" s="9" t="str">
        <f t="shared" si="38"/>
        <v/>
      </c>
      <c r="CK16" s="135" t="str">
        <f t="shared" si="39"/>
        <v/>
      </c>
      <c r="CL16" s="61" t="str">
        <f t="shared" si="40"/>
        <v/>
      </c>
      <c r="CM16" s="135" t="str">
        <f t="shared" si="41"/>
        <v/>
      </c>
      <c r="CN16" s="61" t="str">
        <f t="shared" si="42"/>
        <v/>
      </c>
      <c r="CO16" s="113">
        <v>1</v>
      </c>
      <c r="CP16" s="129">
        <v>10887</v>
      </c>
      <c r="CQ16" s="136">
        <v>10.6</v>
      </c>
      <c r="CR16" s="77">
        <f t="shared" si="43"/>
        <v>0</v>
      </c>
      <c r="CS16" s="25">
        <v>0.8</v>
      </c>
      <c r="CT16" s="2">
        <f t="shared" si="44"/>
        <v>-0.22314355131420971</v>
      </c>
      <c r="CU16" s="7">
        <f t="shared" si="45"/>
        <v>9390.4</v>
      </c>
      <c r="CV16" s="2">
        <f t="shared" si="46"/>
        <v>9.1474431698040704</v>
      </c>
      <c r="CW16" s="14">
        <f t="shared" si="47"/>
        <v>93.903999999999996</v>
      </c>
      <c r="CX16" s="2">
        <f t="shared" si="48"/>
        <v>4.5422729838159785</v>
      </c>
      <c r="CY16" s="2">
        <f t="shared" si="49"/>
        <v>0.11795577161017215</v>
      </c>
      <c r="CZ16" s="13">
        <f t="shared" si="50"/>
        <v>252.82429594529103</v>
      </c>
      <c r="DA16" s="2">
        <f t="shared" si="51"/>
        <v>5.5326947650332086</v>
      </c>
      <c r="DB16" s="64">
        <v>1.45</v>
      </c>
      <c r="DC16" s="64">
        <v>2.16</v>
      </c>
      <c r="DD16" s="64">
        <v>1.7</v>
      </c>
      <c r="DE16" s="64">
        <v>1.29</v>
      </c>
      <c r="DF16" s="64">
        <v>0.95</v>
      </c>
      <c r="DG16" s="64">
        <v>2.38</v>
      </c>
      <c r="DH16" s="65">
        <v>14.966666666666667</v>
      </c>
      <c r="DI16" s="15">
        <v>1.0333333333333332</v>
      </c>
      <c r="DJ16" s="67">
        <v>33.033333333333339</v>
      </c>
      <c r="DK16" s="15">
        <v>17.033333333333339</v>
      </c>
      <c r="DL16" s="15">
        <f t="shared" si="52"/>
        <v>18.06666666666667</v>
      </c>
      <c r="DM16" s="13">
        <v>1.8</v>
      </c>
      <c r="DR16" s="13">
        <f t="shared" si="65"/>
        <v>1.8</v>
      </c>
      <c r="DS16" s="16">
        <v>24</v>
      </c>
      <c r="DT16" s="16">
        <v>28</v>
      </c>
      <c r="DU16" s="16">
        <v>20</v>
      </c>
      <c r="DV16" s="17">
        <v>510</v>
      </c>
      <c r="DW16" s="17">
        <v>217</v>
      </c>
      <c r="DX16" s="77">
        <f t="shared" si="53"/>
        <v>5.3798973535404597</v>
      </c>
      <c r="DY16" s="17">
        <v>10355000</v>
      </c>
      <c r="DZ16" s="17">
        <f t="shared" si="54"/>
        <v>10355</v>
      </c>
      <c r="EA16" s="129">
        <f t="shared" si="55"/>
        <v>9.2452247738296851</v>
      </c>
      <c r="EB16" s="17">
        <v>11738000</v>
      </c>
      <c r="EC16" s="17">
        <f t="shared" si="56"/>
        <v>11738</v>
      </c>
      <c r="ED16" s="126">
        <f t="shared" si="57"/>
        <v>9.3705867211182792</v>
      </c>
      <c r="EE16" s="123">
        <f t="shared" si="58"/>
        <v>0.88217754302266149</v>
      </c>
      <c r="EF16" s="123">
        <f t="shared" si="59"/>
        <v>1.1335586673104781</v>
      </c>
      <c r="EG16" s="77">
        <f t="shared" si="60"/>
        <v>0.12536194728859529</v>
      </c>
      <c r="EH16" s="113">
        <v>22</v>
      </c>
      <c r="EI16" s="77">
        <v>0.372</v>
      </c>
      <c r="EJ16" s="77">
        <v>5.7000000000000002E-2</v>
      </c>
      <c r="EK16" s="77">
        <f t="shared" si="61"/>
        <v>-2.864704011147587</v>
      </c>
      <c r="EL16" s="16">
        <v>1</v>
      </c>
    </row>
    <row r="17" spans="1:142" x14ac:dyDescent="0.3">
      <c r="A17" s="30">
        <f t="shared" si="0"/>
        <v>16</v>
      </c>
      <c r="B17" s="1" t="s">
        <v>32</v>
      </c>
      <c r="C17" s="1" t="s">
        <v>33</v>
      </c>
      <c r="D17" s="149" t="s">
        <v>1</v>
      </c>
      <c r="E17" s="16">
        <v>0</v>
      </c>
      <c r="F17" s="16">
        <v>1</v>
      </c>
      <c r="G17" s="16">
        <v>0</v>
      </c>
      <c r="H17" s="16">
        <v>0</v>
      </c>
      <c r="I17" s="16">
        <v>0</v>
      </c>
      <c r="J17" s="17">
        <v>16</v>
      </c>
      <c r="K17" s="17">
        <v>349</v>
      </c>
      <c r="L17" s="2">
        <v>14.604200000000001</v>
      </c>
      <c r="M17" s="2">
        <f t="shared" si="1"/>
        <v>14.604200000000001</v>
      </c>
      <c r="N17" s="2">
        <v>120.98220000000001</v>
      </c>
      <c r="O17" s="3">
        <v>12076</v>
      </c>
      <c r="P17" s="3">
        <v>12659.314</v>
      </c>
      <c r="Q17" s="3">
        <v>13064.268</v>
      </c>
      <c r="R17" s="6">
        <v>13482</v>
      </c>
      <c r="S17" s="134">
        <f t="shared" si="2"/>
        <v>9.5091107414133837</v>
      </c>
      <c r="T17" s="6">
        <v>108116.622</v>
      </c>
      <c r="U17" s="3">
        <f t="shared" si="3"/>
        <v>108.11662200000001</v>
      </c>
      <c r="V17" s="6">
        <f t="shared" si="4"/>
        <v>4.6832104778569095</v>
      </c>
      <c r="W17" s="4">
        <f t="shared" si="5"/>
        <v>12.469867954254065</v>
      </c>
      <c r="X17" s="4">
        <v>1.7915052329275467</v>
      </c>
      <c r="Y17" s="11">
        <v>1.68</v>
      </c>
      <c r="Z17" s="4">
        <f t="shared" si="6"/>
        <v>1.0663721624568732</v>
      </c>
      <c r="AA17" s="17">
        <v>110411</v>
      </c>
      <c r="AB17" s="126">
        <f t="shared" si="7"/>
        <v>1104.1100000000001</v>
      </c>
      <c r="AC17" s="14">
        <v>1104.1099999999999</v>
      </c>
      <c r="AD17" s="2">
        <f t="shared" si="8"/>
        <v>7.0067948595546961</v>
      </c>
      <c r="AE17" s="6">
        <f t="shared" si="9"/>
        <v>12.21073987193305</v>
      </c>
      <c r="AF17" s="6">
        <f t="shared" si="10"/>
        <v>2.5023158818586881</v>
      </c>
      <c r="AG17" s="5">
        <v>300000</v>
      </c>
      <c r="AH17" s="7">
        <f t="shared" si="11"/>
        <v>300</v>
      </c>
      <c r="AI17" s="2">
        <f t="shared" si="12"/>
        <v>0.36803666666666662</v>
      </c>
      <c r="AJ17" s="8">
        <f t="shared" si="13"/>
        <v>360.38873999999998</v>
      </c>
      <c r="AK17" s="134">
        <f t="shared" si="14"/>
        <v>5.8871832821828454</v>
      </c>
      <c r="AL17" s="8">
        <f t="shared" si="15"/>
        <v>33.882134807910624</v>
      </c>
      <c r="AM17" s="20">
        <v>0.33090000000000003</v>
      </c>
      <c r="AN17" s="53">
        <v>182800000000</v>
      </c>
      <c r="AO17" s="20">
        <f t="shared" si="16"/>
        <v>182.8</v>
      </c>
      <c r="AP17" s="20">
        <f t="shared" si="17"/>
        <v>5.20839265902005</v>
      </c>
      <c r="AQ17" s="72">
        <f t="shared" si="18"/>
        <v>13992.364516710772</v>
      </c>
      <c r="AR17" s="72">
        <f t="shared" si="19"/>
        <v>9.5462670681537478</v>
      </c>
      <c r="AS17" s="72">
        <f t="shared" si="20"/>
        <v>55.243275914173459</v>
      </c>
      <c r="AT17" s="73">
        <v>190.8</v>
      </c>
      <c r="AU17" s="20">
        <f t="shared" si="21"/>
        <v>5.2512257590141864</v>
      </c>
      <c r="AV17" s="73">
        <f t="shared" ref="AV17:AV23" si="67">AT17*1000000000/(AM17*1000000000000)*100</f>
        <v>57.660924750679968</v>
      </c>
      <c r="AW17" s="53">
        <v>182842</v>
      </c>
      <c r="AX17" s="53">
        <v>14222</v>
      </c>
      <c r="AY17" s="53">
        <f t="shared" ref="AY17:AY23" si="68">AW17*1000000/(P17*1000)</f>
        <v>14443.278680029582</v>
      </c>
      <c r="AZ17" s="53">
        <f t="shared" ref="AZ17:AZ23" si="69">Q17*BB17/1000</f>
        <v>195248.56921571915</v>
      </c>
      <c r="BA17" s="22">
        <f t="shared" si="22"/>
        <v>12.182028739714617</v>
      </c>
      <c r="BB17" s="53">
        <v>14945.23606035326</v>
      </c>
      <c r="BC17" s="22">
        <f t="shared" si="23"/>
        <v>9.6121478698661793</v>
      </c>
      <c r="BD17" s="22">
        <v>0.72323606035325927</v>
      </c>
      <c r="BE17" s="22">
        <f t="shared" ref="BE17:BE23" si="70">(BB17-AX17)/1000</f>
        <v>0.72323606035325971</v>
      </c>
      <c r="BF17" s="54">
        <v>5.0853330076871028</v>
      </c>
      <c r="BG17" s="54">
        <f t="shared" ref="BG17:BG23" si="71">BE17*1000/AX17*100</f>
        <v>5.0853330076871028</v>
      </c>
      <c r="BH17" s="21">
        <v>9.5399999999999991</v>
      </c>
      <c r="BI17" s="20">
        <f t="shared" si="24"/>
        <v>2.2554934854601951</v>
      </c>
      <c r="BJ17" s="22">
        <v>0.47899999999999998</v>
      </c>
      <c r="BK17" s="22">
        <v>0.71199999999999997</v>
      </c>
      <c r="BL17" s="23">
        <v>71.099999999999994</v>
      </c>
      <c r="BM17" s="24">
        <v>-1</v>
      </c>
      <c r="BN17" s="77">
        <v>0.58199999999999996</v>
      </c>
      <c r="BO17" s="77">
        <f t="shared" si="25"/>
        <v>0.13</v>
      </c>
      <c r="BP17" s="113">
        <v>1.9</v>
      </c>
      <c r="BQ17" s="77">
        <f t="shared" si="26"/>
        <v>0.64185388617239469</v>
      </c>
      <c r="BS17" s="9">
        <v>5095</v>
      </c>
      <c r="BT17" s="19">
        <v>18.5</v>
      </c>
      <c r="BU17" s="18">
        <v>49762</v>
      </c>
      <c r="BV17" s="60">
        <f t="shared" si="27"/>
        <v>10.815006919531392</v>
      </c>
      <c r="BW17" s="61">
        <f t="shared" ref="BW17:BW26" si="72">BU17*1000000/(R17*1000)</f>
        <v>3690.9954012757753</v>
      </c>
      <c r="BX17" s="60">
        <f t="shared" si="28"/>
        <v>8.2136514571001449</v>
      </c>
      <c r="BY17" s="60">
        <f t="shared" si="29"/>
        <v>45.069784713479642</v>
      </c>
      <c r="BZ17" s="60">
        <f t="shared" si="30"/>
        <v>3.8082120599766962</v>
      </c>
      <c r="CA17" s="60">
        <f t="shared" si="31"/>
        <v>27.222100656455144</v>
      </c>
      <c r="CB17" s="60">
        <f t="shared" si="32"/>
        <v>3.3040291675172968</v>
      </c>
      <c r="CC17" s="18">
        <v>38729.199999999997</v>
      </c>
      <c r="CD17" s="18">
        <f t="shared" si="33"/>
        <v>10758.11197176</v>
      </c>
      <c r="CE17" s="18">
        <f t="shared" si="34"/>
        <v>9.2834153510110351</v>
      </c>
      <c r="CF17" s="18">
        <f t="shared" si="35"/>
        <v>6.9540267034395571</v>
      </c>
      <c r="CG17" s="18">
        <f t="shared" si="36"/>
        <v>890.86717222259028</v>
      </c>
      <c r="CH17" s="135">
        <f t="shared" si="37"/>
        <v>6.7921953391664438</v>
      </c>
      <c r="CI17" s="9">
        <v>556932</v>
      </c>
      <c r="CJ17" s="9">
        <f t="shared" si="38"/>
        <v>154703.34570960002</v>
      </c>
      <c r="CK17" s="135">
        <f t="shared" si="39"/>
        <v>11.949264663409391</v>
      </c>
      <c r="CL17" s="61">
        <f t="shared" si="40"/>
        <v>12810.810343623716</v>
      </c>
      <c r="CM17" s="135">
        <f t="shared" si="41"/>
        <v>9.4580446515647978</v>
      </c>
      <c r="CN17" s="61">
        <f t="shared" si="42"/>
        <v>6.9540267034395589</v>
      </c>
      <c r="CO17" s="113">
        <v>1</v>
      </c>
      <c r="CP17" s="129">
        <v>20507</v>
      </c>
      <c r="CQ17" s="136">
        <v>20</v>
      </c>
      <c r="CR17" s="77">
        <f t="shared" si="43"/>
        <v>0</v>
      </c>
      <c r="CS17" s="25">
        <v>1.3</v>
      </c>
      <c r="CT17" s="2">
        <f t="shared" si="44"/>
        <v>0.26236426446749106</v>
      </c>
      <c r="CU17" s="7">
        <f t="shared" si="45"/>
        <v>17526.600000000002</v>
      </c>
      <c r="CV17" s="2">
        <f t="shared" si="46"/>
        <v>9.771475005880875</v>
      </c>
      <c r="CW17" s="14">
        <f t="shared" si="47"/>
        <v>175.26600000000002</v>
      </c>
      <c r="CX17" s="2">
        <f t="shared" si="48"/>
        <v>5.1663048198927841</v>
      </c>
      <c r="CY17" s="2">
        <f t="shared" si="49"/>
        <v>0.58422000000000007</v>
      </c>
      <c r="CZ17" s="13">
        <f t="shared" si="50"/>
        <v>158.73961833512971</v>
      </c>
      <c r="DA17" s="2">
        <f t="shared" si="51"/>
        <v>5.0672652393202249</v>
      </c>
      <c r="DB17" s="64">
        <v>2.11</v>
      </c>
      <c r="DC17" s="64">
        <v>0.28000000000000003</v>
      </c>
      <c r="DD17" s="64">
        <v>2.8</v>
      </c>
      <c r="DE17" s="64">
        <v>0.33</v>
      </c>
      <c r="DF17" s="64">
        <v>1.98</v>
      </c>
      <c r="DG17" s="64">
        <v>0.23</v>
      </c>
      <c r="DH17" s="65">
        <v>26.533333333333335</v>
      </c>
      <c r="DI17" s="15">
        <v>0</v>
      </c>
      <c r="DJ17" s="67">
        <v>27.366666666666664</v>
      </c>
      <c r="DK17" s="15">
        <v>11.366666666666664</v>
      </c>
      <c r="DL17" s="15">
        <f t="shared" si="52"/>
        <v>11.366666666666664</v>
      </c>
      <c r="DM17" s="13">
        <v>7</v>
      </c>
      <c r="DR17" s="13">
        <f t="shared" si="65"/>
        <v>7</v>
      </c>
      <c r="DS17" s="16">
        <v>27</v>
      </c>
      <c r="DT17" s="16">
        <v>31</v>
      </c>
      <c r="DU17" s="16">
        <v>23</v>
      </c>
      <c r="DV17" s="17">
        <v>1970</v>
      </c>
      <c r="DW17" s="17">
        <v>10</v>
      </c>
      <c r="DX17" s="77">
        <f t="shared" si="53"/>
        <v>2.3025850929940459</v>
      </c>
      <c r="DY17" s="17">
        <v>12877000</v>
      </c>
      <c r="DZ17" s="17">
        <f t="shared" si="54"/>
        <v>12877</v>
      </c>
      <c r="EA17" s="129">
        <f t="shared" si="55"/>
        <v>9.4631980532737838</v>
      </c>
      <c r="EB17" s="17">
        <v>22710000</v>
      </c>
      <c r="EC17" s="17">
        <f t="shared" si="56"/>
        <v>22710</v>
      </c>
      <c r="ED17" s="126">
        <f t="shared" si="57"/>
        <v>10.030560635099604</v>
      </c>
      <c r="EE17" s="123">
        <f t="shared" si="58"/>
        <v>0.56701893439013651</v>
      </c>
      <c r="EF17" s="123">
        <f t="shared" si="59"/>
        <v>1.7636095363826978</v>
      </c>
      <c r="EG17" s="77">
        <f t="shared" si="60"/>
        <v>0.56736258182582033</v>
      </c>
      <c r="EH17" s="113">
        <v>24.1</v>
      </c>
      <c r="EI17" s="77">
        <v>0.61</v>
      </c>
      <c r="EJ17" s="77">
        <v>0.183</v>
      </c>
      <c r="EK17" s="77">
        <f t="shared" si="61"/>
        <v>-1.6982691261407161</v>
      </c>
      <c r="EL17" s="16">
        <v>0</v>
      </c>
    </row>
    <row r="18" spans="1:142" x14ac:dyDescent="0.3">
      <c r="A18" s="30">
        <f t="shared" si="0"/>
        <v>17</v>
      </c>
      <c r="B18" s="1" t="s">
        <v>51</v>
      </c>
      <c r="C18" s="1" t="s">
        <v>0</v>
      </c>
      <c r="D18" s="149" t="s">
        <v>1</v>
      </c>
      <c r="E18" s="16">
        <v>0</v>
      </c>
      <c r="F18" s="16">
        <v>1</v>
      </c>
      <c r="G18" s="16">
        <v>0</v>
      </c>
      <c r="H18" s="16">
        <v>0</v>
      </c>
      <c r="I18" s="16">
        <v>0</v>
      </c>
      <c r="J18" s="17">
        <v>148</v>
      </c>
      <c r="K18" s="17">
        <v>3492</v>
      </c>
      <c r="L18" s="2">
        <v>19.073975000000001</v>
      </c>
      <c r="M18" s="2">
        <f t="shared" si="1"/>
        <v>19.073975000000001</v>
      </c>
      <c r="N18" s="2">
        <v>72.880837999999997</v>
      </c>
      <c r="O18" s="3">
        <v>18464</v>
      </c>
      <c r="P18" s="3">
        <v>19099.274000000001</v>
      </c>
      <c r="Q18" s="3">
        <v>19534.651999999998</v>
      </c>
      <c r="R18" s="6">
        <v>19980</v>
      </c>
      <c r="S18" s="134">
        <f t="shared" si="2"/>
        <v>9.9024870522025452</v>
      </c>
      <c r="T18" s="6">
        <v>1366417.7560000001</v>
      </c>
      <c r="U18" s="3">
        <f t="shared" si="3"/>
        <v>1366.4177560000001</v>
      </c>
      <c r="V18" s="6">
        <f t="shared" si="4"/>
        <v>7.2199478176805538</v>
      </c>
      <c r="W18" s="4">
        <f t="shared" si="5"/>
        <v>1.4622175328348119</v>
      </c>
      <c r="X18" s="4">
        <v>1.1269812178647953</v>
      </c>
      <c r="Y18" s="11">
        <v>1.33</v>
      </c>
      <c r="Z18" s="4">
        <f t="shared" si="6"/>
        <v>0.84735429914646265</v>
      </c>
      <c r="AA18" s="17">
        <v>70533</v>
      </c>
      <c r="AB18" s="126">
        <f t="shared" si="7"/>
        <v>705.33</v>
      </c>
      <c r="AC18" s="14">
        <v>705.33</v>
      </c>
      <c r="AD18" s="2">
        <f t="shared" si="8"/>
        <v>6.558665778400993</v>
      </c>
      <c r="AE18" s="6">
        <f t="shared" si="9"/>
        <v>28.327166007400791</v>
      </c>
      <c r="AF18" s="6">
        <f t="shared" si="10"/>
        <v>3.3438212738015518</v>
      </c>
      <c r="AG18" s="5">
        <v>3287263</v>
      </c>
      <c r="AH18" s="7">
        <f t="shared" si="11"/>
        <v>3287.2629999999999</v>
      </c>
      <c r="AI18" s="2">
        <f t="shared" si="12"/>
        <v>2.1456451765496098E-2</v>
      </c>
      <c r="AJ18" s="8">
        <f t="shared" si="13"/>
        <v>415.6703482502009</v>
      </c>
      <c r="AK18" s="134">
        <f t="shared" si="14"/>
        <v>6.0298925140301236</v>
      </c>
      <c r="AL18" s="8">
        <f t="shared" si="15"/>
        <v>68.148151838701907</v>
      </c>
      <c r="AM18" s="20">
        <v>2.7189999999999999</v>
      </c>
      <c r="AN18" s="53">
        <v>368000000000</v>
      </c>
      <c r="AO18" s="20">
        <f t="shared" si="16"/>
        <v>368</v>
      </c>
      <c r="AP18" s="20">
        <f t="shared" si="17"/>
        <v>5.9080829381689313</v>
      </c>
      <c r="AQ18" s="72">
        <f t="shared" si="18"/>
        <v>18838.318696437491</v>
      </c>
      <c r="AR18" s="72">
        <f t="shared" si="19"/>
        <v>9.8436483029823858</v>
      </c>
      <c r="AS18" s="72">
        <f t="shared" si="20"/>
        <v>13.534387642515631</v>
      </c>
      <c r="AT18" s="73">
        <v>368</v>
      </c>
      <c r="AU18" s="20">
        <f t="shared" si="21"/>
        <v>5.9080829381689313</v>
      </c>
      <c r="AV18" s="73">
        <f t="shared" si="67"/>
        <v>13.534387642515631</v>
      </c>
      <c r="AW18" s="53">
        <v>150853</v>
      </c>
      <c r="AX18" s="53">
        <v>7005</v>
      </c>
      <c r="AY18" s="53">
        <f t="shared" si="68"/>
        <v>7898.3630477263168</v>
      </c>
      <c r="AZ18" s="53">
        <f t="shared" si="69"/>
        <v>147264.32212809366</v>
      </c>
      <c r="BA18" s="22">
        <f t="shared" si="22"/>
        <v>11.899984360811795</v>
      </c>
      <c r="BB18" s="53">
        <v>7538.6201979996204</v>
      </c>
      <c r="BC18" s="22">
        <f t="shared" si="23"/>
        <v>8.9277944466431123</v>
      </c>
      <c r="BD18" s="22">
        <v>0.53362019799962024</v>
      </c>
      <c r="BE18" s="22">
        <f t="shared" si="70"/>
        <v>0.53362019799962035</v>
      </c>
      <c r="BF18" s="54">
        <v>7.6177044682315538</v>
      </c>
      <c r="BG18" s="54">
        <f t="shared" si="71"/>
        <v>7.6177044682315538</v>
      </c>
      <c r="BH18" s="21">
        <v>6.8289999999999997</v>
      </c>
      <c r="BI18" s="20">
        <f t="shared" si="24"/>
        <v>1.9211782499789523</v>
      </c>
      <c r="BJ18" s="22">
        <v>0.47899999999999998</v>
      </c>
      <c r="BK18" s="22">
        <v>0.64700000000000002</v>
      </c>
      <c r="BL18" s="23">
        <v>69.400000000000006</v>
      </c>
      <c r="BM18" s="24">
        <v>-5</v>
      </c>
      <c r="BN18" s="77">
        <v>0.53800000000000003</v>
      </c>
      <c r="BO18" s="77">
        <f t="shared" si="25"/>
        <v>0.10899999999999999</v>
      </c>
      <c r="BP18" s="113">
        <v>1.5</v>
      </c>
      <c r="BQ18" s="77">
        <f t="shared" si="26"/>
        <v>0.40546510810816438</v>
      </c>
      <c r="BR18" s="113">
        <v>0.9</v>
      </c>
      <c r="BS18" s="9">
        <v>6839</v>
      </c>
      <c r="BT18" s="19">
        <v>25</v>
      </c>
      <c r="BU18" s="18">
        <v>12952</v>
      </c>
      <c r="BV18" s="60">
        <f t="shared" si="27"/>
        <v>9.4690054953574716</v>
      </c>
      <c r="BW18" s="61">
        <f t="shared" si="72"/>
        <v>648.24824824824827</v>
      </c>
      <c r="BX18" s="60">
        <f t="shared" si="28"/>
        <v>6.4742737221370632</v>
      </c>
      <c r="BY18" s="60">
        <f t="shared" si="29"/>
        <v>18.363035742134887</v>
      </c>
      <c r="BZ18" s="60">
        <f t="shared" si="30"/>
        <v>2.9103397169564786</v>
      </c>
      <c r="CA18" s="60">
        <f t="shared" si="31"/>
        <v>3.5195652173913046</v>
      </c>
      <c r="CB18" s="60">
        <f t="shared" si="32"/>
        <v>1.2583374641944944</v>
      </c>
      <c r="CC18" s="18">
        <v>31416.23</v>
      </c>
      <c r="CD18" s="18">
        <f t="shared" si="33"/>
        <v>8726.7312536940008</v>
      </c>
      <c r="CE18" s="18">
        <f t="shared" si="34"/>
        <v>9.0741461518792406</v>
      </c>
      <c r="CF18" s="18">
        <f t="shared" si="35"/>
        <v>29.347797249831853</v>
      </c>
      <c r="CG18" s="18">
        <f t="shared" si="36"/>
        <v>472.6349249184359</v>
      </c>
      <c r="CH18" s="135">
        <f t="shared" si="37"/>
        <v>6.1583232615535524</v>
      </c>
      <c r="CI18" s="9">
        <v>107048</v>
      </c>
      <c r="CJ18" s="9">
        <f t="shared" si="38"/>
        <v>29735.557934400003</v>
      </c>
      <c r="CK18" s="135">
        <f t="shared" si="39"/>
        <v>10.300098845522758</v>
      </c>
      <c r="CL18" s="61">
        <f t="shared" si="40"/>
        <v>1610.4613266031197</v>
      </c>
      <c r="CM18" s="135">
        <f t="shared" si="41"/>
        <v>7.3842759551970678</v>
      </c>
      <c r="CN18" s="61">
        <f t="shared" si="42"/>
        <v>29.347797249831853</v>
      </c>
      <c r="CO18" s="113">
        <v>1.5</v>
      </c>
      <c r="CP18" s="129">
        <v>21450</v>
      </c>
      <c r="CQ18" s="136">
        <v>32.1</v>
      </c>
      <c r="CR18" s="77">
        <f t="shared" si="43"/>
        <v>0.40546510810816438</v>
      </c>
      <c r="CS18" s="25">
        <v>1.2</v>
      </c>
      <c r="CT18" s="2">
        <f t="shared" si="44"/>
        <v>0.18232155679395459</v>
      </c>
      <c r="CU18" s="7">
        <f t="shared" si="45"/>
        <v>23976</v>
      </c>
      <c r="CV18" s="2">
        <f t="shared" si="46"/>
        <v>10.084808608996498</v>
      </c>
      <c r="CW18" s="14">
        <f t="shared" si="47"/>
        <v>239.76</v>
      </c>
      <c r="CX18" s="2">
        <f t="shared" si="48"/>
        <v>5.4796384230084074</v>
      </c>
      <c r="CY18" s="2">
        <f t="shared" si="49"/>
        <v>7.2936056530919488E-2</v>
      </c>
      <c r="CZ18" s="13">
        <f t="shared" si="50"/>
        <v>339.92599208880949</v>
      </c>
      <c r="DA18" s="2">
        <f t="shared" si="51"/>
        <v>5.8287279235895522</v>
      </c>
      <c r="DB18" s="64">
        <v>-0.8</v>
      </c>
      <c r="DC18" s="64">
        <v>1.37</v>
      </c>
      <c r="DD18" s="64">
        <v>-0.68</v>
      </c>
      <c r="DE18" s="64">
        <v>0.19</v>
      </c>
      <c r="DF18" s="64">
        <v>-0.9</v>
      </c>
      <c r="DG18" s="64">
        <v>1.97</v>
      </c>
      <c r="DH18" s="65">
        <v>26.2</v>
      </c>
      <c r="DI18" s="15">
        <v>0</v>
      </c>
      <c r="DJ18" s="67">
        <v>27.599999999999998</v>
      </c>
      <c r="DK18" s="15">
        <v>11.599999999999998</v>
      </c>
      <c r="DL18" s="15">
        <f t="shared" si="52"/>
        <v>11.599999999999998</v>
      </c>
      <c r="DM18" s="13">
        <v>9.9</v>
      </c>
      <c r="DN18" s="13">
        <v>4.0999999999999996</v>
      </c>
      <c r="DR18" s="13">
        <f t="shared" si="65"/>
        <v>7</v>
      </c>
      <c r="DS18" s="16">
        <v>27.1</v>
      </c>
      <c r="DT18" s="16">
        <v>31.8</v>
      </c>
      <c r="DU18" s="16">
        <v>22.4</v>
      </c>
      <c r="DV18" s="17">
        <v>2431.3000000000002</v>
      </c>
      <c r="DW18" s="17">
        <v>12</v>
      </c>
      <c r="DX18" s="77">
        <f t="shared" si="53"/>
        <v>2.4849066497880004</v>
      </c>
      <c r="DY18" s="17">
        <v>12400000</v>
      </c>
      <c r="DZ18" s="17">
        <f t="shared" si="54"/>
        <v>12400</v>
      </c>
      <c r="EA18" s="129">
        <f t="shared" si="55"/>
        <v>9.425451751593128</v>
      </c>
      <c r="EB18" s="17">
        <v>27750000</v>
      </c>
      <c r="EC18" s="17">
        <f t="shared" si="56"/>
        <v>27750</v>
      </c>
      <c r="ED18" s="126">
        <f t="shared" si="57"/>
        <v>10.230991119174581</v>
      </c>
      <c r="EE18" s="123">
        <f t="shared" si="58"/>
        <v>0.44684684684684683</v>
      </c>
      <c r="EF18" s="123">
        <f t="shared" si="59"/>
        <v>2.2379032258064515</v>
      </c>
      <c r="EG18" s="77">
        <f t="shared" si="60"/>
        <v>0.80553936758145228</v>
      </c>
      <c r="EH18" s="113">
        <v>28.7</v>
      </c>
      <c r="EI18" s="77">
        <v>0.47299999999999998</v>
      </c>
      <c r="EJ18" s="77">
        <v>8.2000000000000003E-2</v>
      </c>
      <c r="EK18" s="77">
        <f t="shared" si="61"/>
        <v>-2.5010360317178839</v>
      </c>
      <c r="EL18" s="16">
        <v>0</v>
      </c>
    </row>
    <row r="19" spans="1:142" x14ac:dyDescent="0.3">
      <c r="A19" s="30">
        <f t="shared" si="0"/>
        <v>18</v>
      </c>
      <c r="B19" s="1" t="s">
        <v>60</v>
      </c>
      <c r="C19" s="1" t="s">
        <v>0</v>
      </c>
      <c r="D19" s="149" t="s">
        <v>1</v>
      </c>
      <c r="E19" s="16">
        <v>0</v>
      </c>
      <c r="F19" s="16">
        <v>1</v>
      </c>
      <c r="G19" s="16">
        <v>0</v>
      </c>
      <c r="H19" s="16">
        <v>0</v>
      </c>
      <c r="I19" s="16">
        <v>0</v>
      </c>
      <c r="K19" s="17">
        <v>109</v>
      </c>
      <c r="L19" s="2">
        <v>28.66667</v>
      </c>
      <c r="M19" s="2">
        <f t="shared" si="1"/>
        <v>28.66667</v>
      </c>
      <c r="N19" s="2">
        <v>77.216669999999993</v>
      </c>
      <c r="O19" s="3">
        <v>22714</v>
      </c>
      <c r="P19" s="3">
        <v>25039.085999999999</v>
      </c>
      <c r="Q19" s="3">
        <v>26719.965</v>
      </c>
      <c r="R19" s="6">
        <v>28514</v>
      </c>
      <c r="S19" s="134">
        <f t="shared" si="2"/>
        <v>10.258150473713906</v>
      </c>
      <c r="T19" s="6">
        <v>1366417.7560000001</v>
      </c>
      <c r="U19" s="3">
        <f t="shared" si="3"/>
        <v>1366.4177560000001</v>
      </c>
      <c r="V19" s="6">
        <f t="shared" si="4"/>
        <v>7.2199478176805538</v>
      </c>
      <c r="W19" s="4">
        <f t="shared" si="5"/>
        <v>2.0867703068694605</v>
      </c>
      <c r="X19" s="4">
        <v>3.2486475239826396</v>
      </c>
      <c r="Y19" s="11">
        <v>1.33</v>
      </c>
      <c r="Z19" s="4">
        <f t="shared" si="6"/>
        <v>2.4425921232952175</v>
      </c>
      <c r="AA19" s="142">
        <v>148400</v>
      </c>
      <c r="AB19" s="126">
        <f t="shared" si="7"/>
        <v>1484</v>
      </c>
      <c r="AC19" s="14">
        <v>1484</v>
      </c>
      <c r="AD19" s="2">
        <f t="shared" si="8"/>
        <v>7.3024964237273258</v>
      </c>
      <c r="AE19" s="6">
        <f t="shared" si="9"/>
        <v>19.214285714285715</v>
      </c>
      <c r="AF19" s="6">
        <f t="shared" si="10"/>
        <v>2.9556540499865807</v>
      </c>
      <c r="AG19" s="5">
        <v>3287263</v>
      </c>
      <c r="AH19" s="7">
        <f t="shared" si="11"/>
        <v>3287.2629999999999</v>
      </c>
      <c r="AI19" s="2">
        <f t="shared" si="12"/>
        <v>4.5143938893845735E-2</v>
      </c>
      <c r="AJ19" s="8">
        <f t="shared" si="13"/>
        <v>415.6703482502009</v>
      </c>
      <c r="AK19" s="134">
        <f t="shared" si="14"/>
        <v>6.0298925140301236</v>
      </c>
      <c r="AL19" s="8">
        <f t="shared" si="15"/>
        <v>46.224816841446248</v>
      </c>
      <c r="AM19" s="20">
        <v>2.7189999999999999</v>
      </c>
      <c r="AN19" s="53">
        <v>110000000000</v>
      </c>
      <c r="AO19" s="20">
        <f t="shared" si="16"/>
        <v>110</v>
      </c>
      <c r="AP19" s="20">
        <f t="shared" si="17"/>
        <v>4.7004803657924166</v>
      </c>
      <c r="AQ19" s="72">
        <f t="shared" si="18"/>
        <v>4116.7718595439774</v>
      </c>
      <c r="AR19" s="72">
        <f t="shared" si="19"/>
        <v>8.322824605987206</v>
      </c>
      <c r="AS19" s="72">
        <f t="shared" si="20"/>
        <v>4.0456050018389114</v>
      </c>
      <c r="AT19" s="73">
        <v>293.60000000000002</v>
      </c>
      <c r="AU19" s="20">
        <f t="shared" si="21"/>
        <v>5.6822182967403609</v>
      </c>
      <c r="AV19" s="73">
        <f t="shared" si="67"/>
        <v>10.798087532180949</v>
      </c>
      <c r="AW19" s="53">
        <v>293637</v>
      </c>
      <c r="AX19" s="53">
        <v>12747</v>
      </c>
      <c r="AY19" s="53">
        <f t="shared" si="68"/>
        <v>11727.145311933511</v>
      </c>
      <c r="AZ19" s="53">
        <f t="shared" si="69"/>
        <v>353959.37635500001</v>
      </c>
      <c r="BA19" s="22">
        <f t="shared" si="22"/>
        <v>12.776937429471609</v>
      </c>
      <c r="BB19" s="53">
        <v>13247</v>
      </c>
      <c r="BC19" s="22">
        <f t="shared" si="23"/>
        <v>9.4915263906842622</v>
      </c>
      <c r="BD19" s="22">
        <v>0.5</v>
      </c>
      <c r="BE19" s="22">
        <f t="shared" si="70"/>
        <v>0.5</v>
      </c>
      <c r="BF19" s="54">
        <v>3.9224915666431319</v>
      </c>
      <c r="BG19" s="54">
        <f t="shared" si="71"/>
        <v>3.9224915666431319</v>
      </c>
      <c r="BH19" s="21">
        <v>6.8289999999999997</v>
      </c>
      <c r="BI19" s="20">
        <f t="shared" si="24"/>
        <v>1.9211782499789523</v>
      </c>
      <c r="BJ19" s="22">
        <v>0.47899999999999998</v>
      </c>
      <c r="BK19" s="22">
        <v>0.64700000000000002</v>
      </c>
      <c r="BL19" s="23">
        <v>69.400000000000006</v>
      </c>
      <c r="BM19" s="24">
        <v>-5</v>
      </c>
      <c r="BN19" s="77">
        <v>0.53800000000000003</v>
      </c>
      <c r="BO19" s="77">
        <f t="shared" si="25"/>
        <v>0.10899999999999999</v>
      </c>
      <c r="BP19" s="113">
        <v>1.5</v>
      </c>
      <c r="BQ19" s="77">
        <f t="shared" si="26"/>
        <v>0.40546510810816438</v>
      </c>
      <c r="BS19" s="9">
        <v>6839</v>
      </c>
      <c r="BT19" s="19">
        <v>25</v>
      </c>
      <c r="BU19" s="18">
        <v>21700</v>
      </c>
      <c r="BV19" s="60">
        <f t="shared" si="27"/>
        <v>9.9850675395285506</v>
      </c>
      <c r="BW19" s="61">
        <f t="shared" si="72"/>
        <v>761.02966963596828</v>
      </c>
      <c r="BX19" s="60">
        <f t="shared" si="28"/>
        <v>6.6346723447967815</v>
      </c>
      <c r="BY19" s="60">
        <f t="shared" si="29"/>
        <v>14.622641509433961</v>
      </c>
      <c r="BZ19" s="60">
        <f t="shared" si="30"/>
        <v>2.6825711158012253</v>
      </c>
      <c r="CA19" s="60">
        <f t="shared" si="31"/>
        <v>19.727272727272727</v>
      </c>
      <c r="CB19" s="60">
        <f t="shared" si="32"/>
        <v>2.9820020807420891</v>
      </c>
      <c r="CC19" s="18">
        <v>99478.74</v>
      </c>
      <c r="CD19" s="18">
        <f t="shared" si="33"/>
        <v>27632.985543972005</v>
      </c>
      <c r="CE19" s="18">
        <f t="shared" si="34"/>
        <v>10.226765466512576</v>
      </c>
      <c r="CF19" s="18">
        <f t="shared" si="35"/>
        <v>43.210106810412604</v>
      </c>
      <c r="CG19" s="18">
        <f t="shared" si="36"/>
        <v>1216.5618360470196</v>
      </c>
      <c r="CH19" s="135">
        <f t="shared" si="37"/>
        <v>7.1037839920431214</v>
      </c>
      <c r="CI19" s="9">
        <v>230221</v>
      </c>
      <c r="CJ19" s="9">
        <f t="shared" si="38"/>
        <v>63950.282893800002</v>
      </c>
      <c r="CK19" s="135">
        <f t="shared" si="39"/>
        <v>11.065861230668823</v>
      </c>
      <c r="CL19" s="61">
        <f t="shared" si="40"/>
        <v>2815.4566740248306</v>
      </c>
      <c r="CM19" s="135">
        <f t="shared" si="41"/>
        <v>7.9428797561993685</v>
      </c>
      <c r="CN19" s="61">
        <f t="shared" si="42"/>
        <v>43.210106810412604</v>
      </c>
      <c r="CO19" s="113">
        <v>2.6</v>
      </c>
      <c r="CP19" s="129">
        <v>27230</v>
      </c>
      <c r="CQ19" s="136">
        <v>69.599999999999994</v>
      </c>
      <c r="CR19" s="77">
        <f t="shared" si="43"/>
        <v>0.95551144502743635</v>
      </c>
      <c r="CS19" s="25">
        <v>1.2</v>
      </c>
      <c r="CT19" s="2">
        <f t="shared" si="44"/>
        <v>0.18232155679395459</v>
      </c>
      <c r="CU19" s="7">
        <f t="shared" si="45"/>
        <v>34216.799999999996</v>
      </c>
      <c r="CV19" s="2">
        <f t="shared" si="46"/>
        <v>10.440472030507861</v>
      </c>
      <c r="CW19" s="14">
        <f t="shared" si="47"/>
        <v>342.16799999999995</v>
      </c>
      <c r="CX19" s="2">
        <f t="shared" si="48"/>
        <v>5.8353018445197691</v>
      </c>
      <c r="CY19" s="2">
        <f t="shared" si="49"/>
        <v>0.10408902482095285</v>
      </c>
      <c r="CZ19" s="13">
        <f t="shared" si="50"/>
        <v>230.57142857142853</v>
      </c>
      <c r="DA19" s="2">
        <f t="shared" si="51"/>
        <v>5.440560699774581</v>
      </c>
      <c r="DB19" s="64">
        <v>0.32</v>
      </c>
      <c r="DC19" s="64">
        <v>1.9</v>
      </c>
      <c r="DD19" s="64">
        <v>0.03</v>
      </c>
      <c r="DE19" s="64">
        <v>0.97</v>
      </c>
      <c r="DF19" s="64">
        <v>0.57999999999999996</v>
      </c>
      <c r="DG19" s="64">
        <v>2.1</v>
      </c>
      <c r="DH19" s="65">
        <v>16.5</v>
      </c>
      <c r="DI19" s="15">
        <v>0</v>
      </c>
      <c r="DJ19" s="67">
        <v>32.633333333333333</v>
      </c>
      <c r="DK19" s="15">
        <v>16.633333333333333</v>
      </c>
      <c r="DL19" s="15">
        <f t="shared" si="52"/>
        <v>16.633333333333333</v>
      </c>
      <c r="DM19" s="13">
        <v>7.2</v>
      </c>
      <c r="DR19" s="13">
        <f t="shared" si="65"/>
        <v>7.2</v>
      </c>
      <c r="DS19" s="16">
        <v>25</v>
      </c>
      <c r="DT19" s="16">
        <v>31.7</v>
      </c>
      <c r="DU19" s="16">
        <v>18.2</v>
      </c>
      <c r="DV19" s="17">
        <v>795.4</v>
      </c>
      <c r="DW19" s="17">
        <v>215</v>
      </c>
      <c r="DX19" s="77">
        <f t="shared" si="53"/>
        <v>5.3706380281276624</v>
      </c>
      <c r="DY19" s="17">
        <v>11035000</v>
      </c>
      <c r="DZ19" s="17">
        <f t="shared" si="54"/>
        <v>11035</v>
      </c>
      <c r="EA19" s="129">
        <f t="shared" si="55"/>
        <v>9.3088273186908363</v>
      </c>
      <c r="EB19" s="17">
        <v>26454000</v>
      </c>
      <c r="EC19" s="17">
        <f t="shared" si="56"/>
        <v>26454</v>
      </c>
      <c r="ED19" s="126">
        <f t="shared" si="57"/>
        <v>10.183162654585992</v>
      </c>
      <c r="EE19" s="123">
        <f t="shared" si="58"/>
        <v>0.417139185000378</v>
      </c>
      <c r="EF19" s="123">
        <f t="shared" si="59"/>
        <v>2.3972813774354327</v>
      </c>
      <c r="EG19" s="77">
        <f t="shared" si="60"/>
        <v>0.87433533589515589</v>
      </c>
      <c r="EH19" s="113">
        <v>28.7</v>
      </c>
      <c r="EI19" s="77">
        <v>0.47299999999999998</v>
      </c>
      <c r="EJ19" s="77">
        <v>8.2000000000000003E-2</v>
      </c>
      <c r="EK19" s="77">
        <f t="shared" si="61"/>
        <v>-2.5010360317178839</v>
      </c>
      <c r="EL19" s="16">
        <v>0</v>
      </c>
    </row>
    <row r="20" spans="1:142" x14ac:dyDescent="0.3">
      <c r="A20" s="30">
        <f t="shared" si="0"/>
        <v>19</v>
      </c>
      <c r="B20" s="1" t="s">
        <v>39</v>
      </c>
      <c r="C20" s="1" t="s">
        <v>40</v>
      </c>
      <c r="D20" s="149" t="s">
        <v>1</v>
      </c>
      <c r="E20" s="16">
        <v>0</v>
      </c>
      <c r="F20" s="16">
        <v>1</v>
      </c>
      <c r="G20" s="16">
        <v>0</v>
      </c>
      <c r="H20" s="16">
        <v>0</v>
      </c>
      <c r="I20" s="16">
        <v>0</v>
      </c>
      <c r="J20" s="17">
        <v>91</v>
      </c>
      <c r="K20" s="17">
        <v>1957</v>
      </c>
      <c r="L20" s="2">
        <v>34.675834000000002</v>
      </c>
      <c r="M20" s="2">
        <f t="shared" si="1"/>
        <v>34.675834000000002</v>
      </c>
      <c r="N20" s="2">
        <v>135.55382299999999</v>
      </c>
      <c r="O20" s="3">
        <v>19336</v>
      </c>
      <c r="P20" s="3">
        <v>19312.562000000002</v>
      </c>
      <c r="Q20" s="3">
        <v>19296.874</v>
      </c>
      <c r="R20" s="6">
        <v>18658</v>
      </c>
      <c r="S20" s="134">
        <f t="shared" si="2"/>
        <v>9.8340302875209069</v>
      </c>
      <c r="T20" s="6">
        <v>126860.299</v>
      </c>
      <c r="U20" s="3">
        <f t="shared" si="3"/>
        <v>126.860299</v>
      </c>
      <c r="V20" s="6">
        <f t="shared" si="4"/>
        <v>4.8430864731318719</v>
      </c>
      <c r="W20" s="4">
        <f t="shared" si="5"/>
        <v>14.707516967148248</v>
      </c>
      <c r="X20" s="4">
        <v>0.28510904885313121</v>
      </c>
      <c r="Y20" s="11">
        <v>-0.03</v>
      </c>
      <c r="Z20" s="4">
        <f t="shared" si="6"/>
        <v>-9.5036349617710414</v>
      </c>
      <c r="AA20" s="17">
        <v>113758</v>
      </c>
      <c r="AB20" s="126">
        <f t="shared" si="7"/>
        <v>1137.58</v>
      </c>
      <c r="AC20" s="14">
        <v>1137.58</v>
      </c>
      <c r="AD20" s="2">
        <f t="shared" si="8"/>
        <v>7.0366584780224199</v>
      </c>
      <c r="AE20" s="6">
        <f t="shared" si="9"/>
        <v>16.401483851685157</v>
      </c>
      <c r="AF20" s="6">
        <f t="shared" si="10"/>
        <v>2.7973718094984865</v>
      </c>
      <c r="AG20" s="5">
        <v>377915</v>
      </c>
      <c r="AH20" s="7">
        <f t="shared" si="11"/>
        <v>377.91500000000002</v>
      </c>
      <c r="AI20" s="2">
        <f t="shared" si="12"/>
        <v>0.30101477845547275</v>
      </c>
      <c r="AJ20" s="8">
        <f t="shared" si="13"/>
        <v>335.68474127780053</v>
      </c>
      <c r="AK20" s="134">
        <f t="shared" si="14"/>
        <v>5.8161724495058262</v>
      </c>
      <c r="AL20" s="8">
        <f t="shared" si="15"/>
        <v>48.859783704353369</v>
      </c>
      <c r="AM20" s="20">
        <v>4.9710000000000001</v>
      </c>
      <c r="AN20" s="53">
        <v>341000000000</v>
      </c>
      <c r="AO20" s="20">
        <f t="shared" si="16"/>
        <v>341</v>
      </c>
      <c r="AP20" s="20">
        <f t="shared" si="17"/>
        <v>5.8318824772835169</v>
      </c>
      <c r="AQ20" s="72">
        <f t="shared" si="18"/>
        <v>17671.25597648614</v>
      </c>
      <c r="AR20" s="72">
        <f t="shared" si="19"/>
        <v>9.7796946423851114</v>
      </c>
      <c r="AS20" s="72">
        <f t="shared" si="20"/>
        <v>6.8597867632267144</v>
      </c>
      <c r="AT20" s="73">
        <v>671.3</v>
      </c>
      <c r="AU20" s="20">
        <f t="shared" si="21"/>
        <v>6.5092161309447061</v>
      </c>
      <c r="AV20" s="73">
        <f t="shared" si="67"/>
        <v>13.504325085495877</v>
      </c>
      <c r="AW20" s="53">
        <v>671295</v>
      </c>
      <c r="AX20" s="53">
        <v>35902</v>
      </c>
      <c r="AY20" s="53">
        <f t="shared" si="68"/>
        <v>34759.500060116312</v>
      </c>
      <c r="AZ20" s="53">
        <f t="shared" si="69"/>
        <v>598666.21897599997</v>
      </c>
      <c r="BA20" s="22">
        <f t="shared" si="22"/>
        <v>13.302459491362976</v>
      </c>
      <c r="BB20" s="53">
        <v>31024</v>
      </c>
      <c r="BC20" s="22">
        <f t="shared" si="23"/>
        <v>10.342516377482433</v>
      </c>
      <c r="BD20" s="22">
        <v>0.9</v>
      </c>
      <c r="BE20" s="22">
        <f t="shared" si="70"/>
        <v>-4.8780000000000001</v>
      </c>
      <c r="BF20" s="54">
        <v>2.9876510423582525</v>
      </c>
      <c r="BG20" s="54">
        <f t="shared" si="71"/>
        <v>-13.586986797392903</v>
      </c>
      <c r="BH20" s="21">
        <v>40.798999999999999</v>
      </c>
      <c r="BI20" s="20">
        <f t="shared" si="24"/>
        <v>3.7086575713058241</v>
      </c>
      <c r="BJ20" s="22">
        <v>0.29899999999999999</v>
      </c>
      <c r="BK20" s="22">
        <v>0.91500000000000004</v>
      </c>
      <c r="BL20" s="23">
        <v>84.5</v>
      </c>
      <c r="BM20" s="24">
        <v>6</v>
      </c>
      <c r="BN20" s="77">
        <v>0.88200000000000001</v>
      </c>
      <c r="BO20" s="77">
        <f t="shared" si="25"/>
        <v>3.3000000000000029E-2</v>
      </c>
      <c r="BP20" s="113">
        <v>1.2</v>
      </c>
      <c r="BQ20" s="77">
        <f t="shared" si="26"/>
        <v>0.18232155679395459</v>
      </c>
      <c r="BS20" s="9">
        <v>41143</v>
      </c>
      <c r="BT20" s="19">
        <v>149.5</v>
      </c>
      <c r="BU20" s="18">
        <v>141335</v>
      </c>
      <c r="BV20" s="60">
        <f t="shared" si="27"/>
        <v>11.858888237929285</v>
      </c>
      <c r="BW20" s="61">
        <f t="shared" si="72"/>
        <v>7575.0348376031725</v>
      </c>
      <c r="BX20" s="60">
        <f t="shared" si="28"/>
        <v>8.9326132293905154</v>
      </c>
      <c r="BY20" s="60">
        <f t="shared" si="29"/>
        <v>124.24181156490094</v>
      </c>
      <c r="BZ20" s="60">
        <f t="shared" si="30"/>
        <v>4.8222297599068655</v>
      </c>
      <c r="CA20" s="60">
        <f t="shared" si="31"/>
        <v>41.447214076246333</v>
      </c>
      <c r="CB20" s="60">
        <f t="shared" si="32"/>
        <v>3.7244206676517222</v>
      </c>
      <c r="CC20" s="18">
        <v>297459</v>
      </c>
      <c r="CD20" s="18">
        <f t="shared" si="33"/>
        <v>82627.506610200013</v>
      </c>
      <c r="CE20" s="18">
        <f t="shared" si="34"/>
        <v>11.322097913882327</v>
      </c>
      <c r="CF20" s="18">
        <f t="shared" si="35"/>
        <v>22.946134335542638</v>
      </c>
      <c r="CG20" s="18">
        <f t="shared" si="36"/>
        <v>4273.2471354054624</v>
      </c>
      <c r="CH20" s="135">
        <f t="shared" si="37"/>
        <v>8.3601292704811456</v>
      </c>
      <c r="CI20" s="9">
        <v>1296336</v>
      </c>
      <c r="CJ20" s="9">
        <f t="shared" si="38"/>
        <v>360093.36214080005</v>
      </c>
      <c r="CK20" s="135">
        <f t="shared" si="39"/>
        <v>12.794118616089674</v>
      </c>
      <c r="CL20" s="61">
        <f t="shared" si="40"/>
        <v>18622.950048655359</v>
      </c>
      <c r="CM20" s="135">
        <f t="shared" si="41"/>
        <v>9.8321499726884927</v>
      </c>
      <c r="CN20" s="61">
        <f t="shared" si="42"/>
        <v>22.946134335542641</v>
      </c>
      <c r="CO20" s="113">
        <v>3.8</v>
      </c>
      <c r="CP20" s="129">
        <v>15566</v>
      </c>
      <c r="CQ20" s="136">
        <v>58.9</v>
      </c>
      <c r="CR20" s="77">
        <f t="shared" si="43"/>
        <v>1.33500106673234</v>
      </c>
      <c r="CS20" s="25">
        <v>4.5</v>
      </c>
      <c r="CT20" s="2">
        <f t="shared" si="44"/>
        <v>1.5040773967762742</v>
      </c>
      <c r="CU20" s="7">
        <f t="shared" si="45"/>
        <v>83961</v>
      </c>
      <c r="CV20" s="2">
        <f t="shared" si="46"/>
        <v>11.33810768429718</v>
      </c>
      <c r="CW20" s="14">
        <f t="shared" si="47"/>
        <v>839.61</v>
      </c>
      <c r="CX20" s="2">
        <f t="shared" si="48"/>
        <v>6.7329374983090888</v>
      </c>
      <c r="CY20" s="2">
        <f t="shared" si="49"/>
        <v>2.2216900625802096</v>
      </c>
      <c r="CZ20" s="13">
        <f t="shared" si="50"/>
        <v>738.06677332583206</v>
      </c>
      <c r="DA20" s="2">
        <f t="shared" si="51"/>
        <v>6.6040342992688066</v>
      </c>
      <c r="DB20" s="64">
        <v>2.35</v>
      </c>
      <c r="DC20" s="64">
        <v>0.5</v>
      </c>
      <c r="DD20" s="64">
        <v>3.76</v>
      </c>
      <c r="DE20" s="64">
        <v>0.9</v>
      </c>
      <c r="DF20" s="64">
        <v>0.98</v>
      </c>
      <c r="DG20" s="64">
        <v>0.37</v>
      </c>
      <c r="DH20" s="65">
        <v>7.1</v>
      </c>
      <c r="DI20" s="15">
        <v>8.9</v>
      </c>
      <c r="DJ20" s="67">
        <v>27.8</v>
      </c>
      <c r="DK20" s="15">
        <v>11.8</v>
      </c>
      <c r="DL20" s="15"/>
      <c r="DM20" s="13">
        <v>3.1</v>
      </c>
      <c r="DR20" s="13">
        <f t="shared" si="65"/>
        <v>3.1</v>
      </c>
      <c r="DS20" s="16">
        <v>16.899999999999999</v>
      </c>
      <c r="DT20" s="16">
        <v>21.1</v>
      </c>
      <c r="DU20" s="16">
        <v>13.3</v>
      </c>
      <c r="DV20" s="17">
        <v>1340</v>
      </c>
      <c r="DW20" s="17">
        <v>23</v>
      </c>
      <c r="DX20" s="77">
        <f t="shared" si="53"/>
        <v>3.1354942159291497</v>
      </c>
      <c r="DY20" s="17">
        <v>2668000</v>
      </c>
      <c r="DZ20" s="17">
        <f t="shared" si="54"/>
        <v>2668</v>
      </c>
      <c r="EA20" s="129">
        <f t="shared" si="55"/>
        <v>7.8890844070355142</v>
      </c>
      <c r="EB20" s="17">
        <v>19342000</v>
      </c>
      <c r="EC20" s="17">
        <f t="shared" si="56"/>
        <v>19342</v>
      </c>
      <c r="ED20" s="126">
        <f t="shared" si="57"/>
        <v>9.8700341762769082</v>
      </c>
      <c r="EE20" s="123">
        <f t="shared" si="58"/>
        <v>0.13793816564988109</v>
      </c>
      <c r="EF20" s="123">
        <f t="shared" si="59"/>
        <v>7.2496251874062967</v>
      </c>
      <c r="EG20" s="77">
        <f t="shared" si="60"/>
        <v>1.9809497692413942</v>
      </c>
      <c r="EH20" s="113">
        <v>48.6</v>
      </c>
      <c r="EI20" s="77">
        <v>0.80800000000000005</v>
      </c>
      <c r="EJ20" s="77">
        <v>0.28499999999999998</v>
      </c>
      <c r="EK20" s="77">
        <f t="shared" si="61"/>
        <v>-1.2552660987134867</v>
      </c>
      <c r="EL20" s="16">
        <v>0</v>
      </c>
    </row>
    <row r="21" spans="1:142" x14ac:dyDescent="0.3">
      <c r="A21" s="30">
        <f t="shared" si="0"/>
        <v>20</v>
      </c>
      <c r="B21" s="1" t="s">
        <v>53</v>
      </c>
      <c r="C21" s="1" t="s">
        <v>54</v>
      </c>
      <c r="D21" s="149" t="s">
        <v>1</v>
      </c>
      <c r="E21" s="16">
        <v>0</v>
      </c>
      <c r="F21" s="16">
        <v>1</v>
      </c>
      <c r="G21" s="16">
        <v>0</v>
      </c>
      <c r="H21" s="16">
        <v>0</v>
      </c>
      <c r="I21" s="16">
        <v>0</v>
      </c>
      <c r="J21" s="17">
        <v>163</v>
      </c>
      <c r="K21" s="17">
        <v>18516</v>
      </c>
      <c r="L21" s="2">
        <v>37.568260000000002</v>
      </c>
      <c r="M21" s="2">
        <f t="shared" si="1"/>
        <v>37.568260000000002</v>
      </c>
      <c r="N21" s="2">
        <v>126.97783</v>
      </c>
      <c r="O21" s="3">
        <v>10040</v>
      </c>
      <c r="P21" s="3">
        <v>9775.3770000000004</v>
      </c>
      <c r="Q21" s="3">
        <v>9835</v>
      </c>
      <c r="R21" s="6">
        <v>9963</v>
      </c>
      <c r="S21" s="134">
        <f t="shared" si="2"/>
        <v>9.2066335100448562</v>
      </c>
      <c r="T21" s="6">
        <v>51164.434999999998</v>
      </c>
      <c r="U21" s="3">
        <f t="shared" si="3"/>
        <v>51.164434999999997</v>
      </c>
      <c r="V21" s="6">
        <f t="shared" si="4"/>
        <v>3.9350446617727735</v>
      </c>
      <c r="W21" s="4">
        <f t="shared" si="5"/>
        <v>19.472510543700913</v>
      </c>
      <c r="X21" s="4">
        <v>0.08</v>
      </c>
      <c r="Y21" s="11">
        <v>0.55000000000000004</v>
      </c>
      <c r="Z21" s="4">
        <f t="shared" si="6"/>
        <v>0.14545454545454545</v>
      </c>
      <c r="AA21" s="17">
        <v>314748</v>
      </c>
      <c r="AB21" s="126">
        <f t="shared" si="7"/>
        <v>3147.48</v>
      </c>
      <c r="AC21" s="14">
        <v>3147</v>
      </c>
      <c r="AD21" s="2">
        <f t="shared" si="8"/>
        <v>8.0542048970644071</v>
      </c>
      <c r="AE21" s="6">
        <f t="shared" si="9"/>
        <v>3.1658722592945661</v>
      </c>
      <c r="AF21" s="6">
        <f t="shared" si="10"/>
        <v>1.1524286129804493</v>
      </c>
      <c r="AG21" s="5">
        <v>99720</v>
      </c>
      <c r="AH21" s="7">
        <f t="shared" si="11"/>
        <v>99.72</v>
      </c>
      <c r="AI21" s="2">
        <f t="shared" si="12"/>
        <v>3.1558363417569195</v>
      </c>
      <c r="AJ21" s="8">
        <f t="shared" si="13"/>
        <v>513.08097673485759</v>
      </c>
      <c r="AK21" s="134">
        <f t="shared" si="14"/>
        <v>6.2404336820995532</v>
      </c>
      <c r="AL21" s="8">
        <f t="shared" si="15"/>
        <v>6.1703169730468854</v>
      </c>
      <c r="AM21" s="20">
        <v>2.2000000000000002</v>
      </c>
      <c r="AN21" s="53">
        <v>384000000000</v>
      </c>
      <c r="AO21" s="20">
        <f t="shared" si="16"/>
        <v>384</v>
      </c>
      <c r="AP21" s="20">
        <f t="shared" si="17"/>
        <v>5.9506425525877269</v>
      </c>
      <c r="AQ21" s="72">
        <f t="shared" si="18"/>
        <v>39044.229791560756</v>
      </c>
      <c r="AR21" s="72">
        <f t="shared" si="19"/>
        <v>10.572450379728842</v>
      </c>
      <c r="AS21" s="72">
        <f t="shared" si="20"/>
        <v>17.454545454545457</v>
      </c>
      <c r="AT21" s="73">
        <v>846</v>
      </c>
      <c r="AU21" s="20">
        <f t="shared" si="21"/>
        <v>6.7405193596062229</v>
      </c>
      <c r="AV21" s="73">
        <f t="shared" si="67"/>
        <v>38.454545454545453</v>
      </c>
      <c r="AW21" s="53">
        <v>845906</v>
      </c>
      <c r="AX21" s="53">
        <v>34355</v>
      </c>
      <c r="AY21" s="53">
        <f t="shared" si="68"/>
        <v>86534.360771968175</v>
      </c>
      <c r="AZ21" s="53">
        <f t="shared" si="69"/>
        <v>349683.42499999999</v>
      </c>
      <c r="BA21" s="22">
        <f t="shared" si="22"/>
        <v>12.764783524158641</v>
      </c>
      <c r="BB21" s="53">
        <f>AX21+1200</f>
        <v>35555</v>
      </c>
      <c r="BC21" s="22">
        <f t="shared" si="23"/>
        <v>10.478836072317618</v>
      </c>
      <c r="BD21" s="22">
        <v>1.2</v>
      </c>
      <c r="BE21" s="22">
        <f t="shared" si="70"/>
        <v>1.2</v>
      </c>
      <c r="BF21" s="54">
        <f>BD21*1000/AW21*100</f>
        <v>0.14185973382385275</v>
      </c>
      <c r="BG21" s="54">
        <f t="shared" si="71"/>
        <v>3.4929413476932036</v>
      </c>
      <c r="BH21" s="21">
        <v>36.756999999999998</v>
      </c>
      <c r="BI21" s="20">
        <f t="shared" si="24"/>
        <v>3.6043286837110355</v>
      </c>
      <c r="BJ21" s="22">
        <v>0.316</v>
      </c>
      <c r="BK21" s="22">
        <v>0.90600000000000003</v>
      </c>
      <c r="BL21" s="23">
        <v>82.8</v>
      </c>
      <c r="BM21" s="24">
        <v>8</v>
      </c>
      <c r="BN21" s="77">
        <v>0.77700000000000002</v>
      </c>
      <c r="BO21" s="77">
        <f t="shared" si="25"/>
        <v>0.129</v>
      </c>
      <c r="BP21" s="113">
        <v>1.2</v>
      </c>
      <c r="BQ21" s="77">
        <f t="shared" si="26"/>
        <v>0.18232155679395459</v>
      </c>
      <c r="BS21" s="9">
        <v>68124</v>
      </c>
      <c r="BT21" s="19">
        <v>246.3</v>
      </c>
      <c r="BU21" s="18">
        <v>46903</v>
      </c>
      <c r="BV21" s="60">
        <f t="shared" si="27"/>
        <v>10.755836918273502</v>
      </c>
      <c r="BW21" s="61">
        <f t="shared" si="72"/>
        <v>4707.7185586670685</v>
      </c>
      <c r="BX21" s="60">
        <f t="shared" si="28"/>
        <v>8.4569586872107827</v>
      </c>
      <c r="BY21" s="60">
        <f t="shared" si="29"/>
        <v>14.90403558945027</v>
      </c>
      <c r="BZ21" s="60">
        <f t="shared" si="30"/>
        <v>2.7016320212090954</v>
      </c>
      <c r="CA21" s="60">
        <f t="shared" si="31"/>
        <v>12.214322916666667</v>
      </c>
      <c r="CB21" s="60">
        <f t="shared" si="32"/>
        <v>2.5026092726917297</v>
      </c>
      <c r="CC21" s="18">
        <v>136804.68</v>
      </c>
      <c r="CD21" s="18">
        <f t="shared" si="33"/>
        <v>38001.303040104001</v>
      </c>
      <c r="CE21" s="18">
        <f t="shared" si="34"/>
        <v>10.545375728649669</v>
      </c>
      <c r="CF21" s="18">
        <f t="shared" si="35"/>
        <v>16.779447351992061</v>
      </c>
      <c r="CG21" s="18">
        <f t="shared" si="36"/>
        <v>3784.9903426398409</v>
      </c>
      <c r="CH21" s="135">
        <f t="shared" si="37"/>
        <v>8.2387986143860861</v>
      </c>
      <c r="CI21" s="9">
        <v>815311</v>
      </c>
      <c r="CJ21" s="9">
        <f t="shared" si="38"/>
        <v>226475.29589580002</v>
      </c>
      <c r="CK21" s="135">
        <f t="shared" si="39"/>
        <v>12.330391149064067</v>
      </c>
      <c r="CL21" s="61">
        <f t="shared" si="40"/>
        <v>22557.300388027892</v>
      </c>
      <c r="CM21" s="135">
        <f t="shared" si="41"/>
        <v>10.023814034800484</v>
      </c>
      <c r="CN21" s="61">
        <f t="shared" si="42"/>
        <v>16.779447351992061</v>
      </c>
      <c r="CO21" s="113">
        <v>13</v>
      </c>
      <c r="CP21" s="129">
        <v>21254</v>
      </c>
      <c r="CQ21" s="136">
        <v>276.10000000000002</v>
      </c>
      <c r="CR21" s="77">
        <f t="shared" si="43"/>
        <v>2.5649493574615367</v>
      </c>
      <c r="CS21" s="25">
        <v>6</v>
      </c>
      <c r="CT21" s="2">
        <f t="shared" si="44"/>
        <v>1.791759469228055</v>
      </c>
      <c r="CU21" s="7">
        <f t="shared" si="45"/>
        <v>59778</v>
      </c>
      <c r="CV21" s="2">
        <f t="shared" si="46"/>
        <v>10.998392979272911</v>
      </c>
      <c r="CW21" s="14">
        <f t="shared" si="47"/>
        <v>597.78</v>
      </c>
      <c r="CX21" s="2">
        <f t="shared" si="48"/>
        <v>6.3932227932848198</v>
      </c>
      <c r="CY21" s="2">
        <f t="shared" si="49"/>
        <v>5.9945848375451263</v>
      </c>
      <c r="CZ21" s="13">
        <f t="shared" si="50"/>
        <v>189.95233555767396</v>
      </c>
      <c r="DA21" s="2">
        <f t="shared" si="51"/>
        <v>5.2467731752025504</v>
      </c>
      <c r="DB21" s="64">
        <v>1.2</v>
      </c>
      <c r="DC21" s="64">
        <v>1.49</v>
      </c>
      <c r="DD21" s="64">
        <v>2.56</v>
      </c>
      <c r="DE21" s="64">
        <v>1.46</v>
      </c>
      <c r="DF21" s="64">
        <v>0.44</v>
      </c>
      <c r="DG21" s="64">
        <v>1.8</v>
      </c>
      <c r="DH21" s="65">
        <v>-1.7</v>
      </c>
      <c r="DI21" s="15">
        <f>16-DH21</f>
        <v>17.7</v>
      </c>
      <c r="DJ21" s="67">
        <v>23.1</v>
      </c>
      <c r="DK21" s="15">
        <f>DJ21-16</f>
        <v>7.1000000000000014</v>
      </c>
      <c r="DL21" s="15"/>
      <c r="DM21" s="13"/>
      <c r="DR21" s="13"/>
      <c r="DS21" s="16">
        <v>12</v>
      </c>
      <c r="DT21" s="16">
        <v>16</v>
      </c>
      <c r="DU21" s="16">
        <v>8</v>
      </c>
      <c r="DV21" s="17">
        <v>135</v>
      </c>
      <c r="DW21" s="17">
        <v>40</v>
      </c>
      <c r="DX21" s="77">
        <f t="shared" si="53"/>
        <v>3.6888794541139363</v>
      </c>
      <c r="DY21" s="17">
        <v>10290000</v>
      </c>
      <c r="DZ21" s="17">
        <f t="shared" si="54"/>
        <v>10290</v>
      </c>
      <c r="EA21" s="129">
        <f t="shared" si="55"/>
        <v>9.2389278288280945</v>
      </c>
      <c r="EB21" s="17">
        <v>25600000</v>
      </c>
      <c r="EC21" s="17">
        <f t="shared" si="56"/>
        <v>25600</v>
      </c>
      <c r="ED21" s="126">
        <f t="shared" si="57"/>
        <v>10.150347630467653</v>
      </c>
      <c r="EE21" s="123">
        <f t="shared" si="58"/>
        <v>0.40195312500000002</v>
      </c>
      <c r="EF21" s="123">
        <f t="shared" si="59"/>
        <v>2.4878522837706512</v>
      </c>
      <c r="EG21" s="77">
        <f t="shared" si="60"/>
        <v>0.9114198016395586</v>
      </c>
      <c r="EH21" s="113">
        <v>43.2</v>
      </c>
      <c r="EI21" s="77">
        <v>0.86499999999999999</v>
      </c>
      <c r="EJ21" s="77">
        <v>0.11</v>
      </c>
      <c r="EK21" s="77">
        <f t="shared" si="61"/>
        <v>-2.2072749131897207</v>
      </c>
      <c r="EL21" s="16">
        <v>0</v>
      </c>
    </row>
    <row r="22" spans="1:142" x14ac:dyDescent="0.3">
      <c r="A22" s="30">
        <f t="shared" si="0"/>
        <v>21</v>
      </c>
      <c r="B22" s="1" t="s">
        <v>45</v>
      </c>
      <c r="C22" s="1" t="s">
        <v>5</v>
      </c>
      <c r="D22" s="149" t="s">
        <v>1</v>
      </c>
      <c r="E22" s="16">
        <v>0</v>
      </c>
      <c r="F22" s="16">
        <v>1</v>
      </c>
      <c r="G22" s="16">
        <v>0</v>
      </c>
      <c r="H22" s="16">
        <v>0</v>
      </c>
      <c r="I22" s="16">
        <v>0</v>
      </c>
      <c r="J22" s="17">
        <v>426</v>
      </c>
      <c r="K22" s="17">
        <v>1792</v>
      </c>
      <c r="L22" s="2">
        <v>31.22222</v>
      </c>
      <c r="M22" s="2">
        <f t="shared" si="1"/>
        <v>31.22222</v>
      </c>
      <c r="N22" s="2">
        <v>121.45806</v>
      </c>
      <c r="O22" s="3">
        <v>20948</v>
      </c>
      <c r="P22" s="3">
        <v>22821.225999999999</v>
      </c>
      <c r="Q22" s="3">
        <v>24163.23</v>
      </c>
      <c r="R22" s="6">
        <v>25582</v>
      </c>
      <c r="S22" s="134">
        <f t="shared" si="2"/>
        <v>10.149644258159338</v>
      </c>
      <c r="T22" s="6">
        <v>1433783.692</v>
      </c>
      <c r="U22" s="3">
        <f t="shared" si="3"/>
        <v>1433.783692</v>
      </c>
      <c r="V22" s="6">
        <f t="shared" si="4"/>
        <v>7.2680721673828224</v>
      </c>
      <c r="W22" s="4">
        <f t="shared" si="5"/>
        <v>1.7842300859424196</v>
      </c>
      <c r="X22" s="4">
        <v>3.1975225994733902</v>
      </c>
      <c r="Y22" s="11">
        <v>0.56000000000000005</v>
      </c>
      <c r="Z22" s="4">
        <f t="shared" si="6"/>
        <v>5.7098617847739108</v>
      </c>
      <c r="AA22" s="17">
        <v>468872</v>
      </c>
      <c r="AB22" s="126">
        <f t="shared" si="7"/>
        <v>4688.72</v>
      </c>
      <c r="AC22" s="14">
        <v>4688.72</v>
      </c>
      <c r="AD22" s="2">
        <f t="shared" si="8"/>
        <v>8.4529149030818402</v>
      </c>
      <c r="AE22" s="6">
        <f t="shared" si="9"/>
        <v>5.4560732993226297</v>
      </c>
      <c r="AF22" s="6">
        <f t="shared" si="10"/>
        <v>1.6967293550774989</v>
      </c>
      <c r="AG22" s="5">
        <v>9596960</v>
      </c>
      <c r="AH22" s="7">
        <f t="shared" si="11"/>
        <v>9596.9599999999991</v>
      </c>
      <c r="AI22" s="2">
        <f t="shared" si="12"/>
        <v>4.885630449642387E-2</v>
      </c>
      <c r="AJ22" s="8">
        <f t="shared" si="13"/>
        <v>149.39977784631802</v>
      </c>
      <c r="AK22" s="134">
        <f t="shared" si="14"/>
        <v>5.0066257857251752</v>
      </c>
      <c r="AL22" s="8">
        <f t="shared" si="15"/>
        <v>36.519955906059579</v>
      </c>
      <c r="AM22" s="20">
        <v>13.61</v>
      </c>
      <c r="AN22" s="53">
        <v>552100000000</v>
      </c>
      <c r="AO22" s="20">
        <f t="shared" si="16"/>
        <v>552.1</v>
      </c>
      <c r="AP22" s="20">
        <f t="shared" si="17"/>
        <v>6.3137291892899992</v>
      </c>
      <c r="AQ22" s="72">
        <f t="shared" si="18"/>
        <v>22848.766493552394</v>
      </c>
      <c r="AR22" s="72">
        <f t="shared" si="19"/>
        <v>10.036652412088527</v>
      </c>
      <c r="AS22" s="72">
        <f t="shared" si="20"/>
        <v>4.0565760470242473</v>
      </c>
      <c r="AT22" s="73">
        <v>594</v>
      </c>
      <c r="AU22" s="20">
        <f t="shared" si="21"/>
        <v>6.3868793193626452</v>
      </c>
      <c r="AV22" s="73">
        <f t="shared" si="67"/>
        <v>4.364437913299045</v>
      </c>
      <c r="AW22" s="53">
        <v>594005</v>
      </c>
      <c r="AX22" s="53">
        <v>24065</v>
      </c>
      <c r="AY22" s="53">
        <f t="shared" si="68"/>
        <v>26028.61914605289</v>
      </c>
      <c r="AZ22" s="53">
        <f t="shared" si="69"/>
        <v>629814.58995000005</v>
      </c>
      <c r="BA22" s="22">
        <f t="shared" si="22"/>
        <v>13.353180753385814</v>
      </c>
      <c r="BB22" s="53">
        <v>26065</v>
      </c>
      <c r="BC22" s="22">
        <f t="shared" si="23"/>
        <v>10.168348697202207</v>
      </c>
      <c r="BD22" s="22">
        <v>2</v>
      </c>
      <c r="BE22" s="22">
        <f t="shared" si="70"/>
        <v>2</v>
      </c>
      <c r="BF22" s="54">
        <v>8.3108248493663002</v>
      </c>
      <c r="BG22" s="54">
        <f t="shared" si="71"/>
        <v>8.3108248493663002</v>
      </c>
      <c r="BH22" s="21">
        <v>16.126999999999999</v>
      </c>
      <c r="BI22" s="20">
        <f t="shared" si="24"/>
        <v>2.7804948859983787</v>
      </c>
      <c r="BJ22" s="22">
        <v>0.51</v>
      </c>
      <c r="BK22" s="22">
        <v>0.75800000000000001</v>
      </c>
      <c r="BL22" s="23">
        <v>76.7</v>
      </c>
      <c r="BM22" s="24">
        <v>-13</v>
      </c>
      <c r="BN22" s="77">
        <v>0.63600000000000001</v>
      </c>
      <c r="BO22" s="77">
        <f t="shared" si="25"/>
        <v>0.122</v>
      </c>
      <c r="BP22" s="113">
        <v>1.7</v>
      </c>
      <c r="BQ22" s="77">
        <f t="shared" si="26"/>
        <v>0.53062825106217038</v>
      </c>
      <c r="BS22" s="9">
        <v>26417</v>
      </c>
      <c r="BT22" s="19">
        <v>96.9</v>
      </c>
      <c r="BU22" s="18">
        <v>126913</v>
      </c>
      <c r="BV22" s="60">
        <f t="shared" si="27"/>
        <v>11.751257091323968</v>
      </c>
      <c r="BW22" s="61">
        <f t="shared" si="72"/>
        <v>4961.027284809632</v>
      </c>
      <c r="BX22" s="60">
        <f t="shared" si="28"/>
        <v>8.509368112146765</v>
      </c>
      <c r="BY22" s="60">
        <f t="shared" si="29"/>
        <v>27.067728505860874</v>
      </c>
      <c r="BZ22" s="60">
        <f t="shared" si="30"/>
        <v>3.2983421882421275</v>
      </c>
      <c r="CA22" s="60">
        <f t="shared" si="31"/>
        <v>22.987321137475096</v>
      </c>
      <c r="CB22" s="60">
        <f t="shared" si="32"/>
        <v>3.1349428090399223</v>
      </c>
      <c r="CC22" s="18">
        <v>683423.6</v>
      </c>
      <c r="CD22" s="18">
        <f t="shared" si="33"/>
        <v>189839.90407608001</v>
      </c>
      <c r="CE22" s="18">
        <f t="shared" si="34"/>
        <v>12.153936385821275</v>
      </c>
      <c r="CF22" s="18">
        <f t="shared" si="35"/>
        <v>32.254291338601256</v>
      </c>
      <c r="CG22" s="18">
        <f t="shared" si="36"/>
        <v>9062.4357492877607</v>
      </c>
      <c r="CH22" s="135">
        <f t="shared" si="37"/>
        <v>9.1118932094040339</v>
      </c>
      <c r="CI22" s="9">
        <v>2118861</v>
      </c>
      <c r="CJ22" s="9">
        <f t="shared" si="38"/>
        <v>588572.54708580009</v>
      </c>
      <c r="CK22" s="135">
        <f t="shared" si="39"/>
        <v>13.285455472657086</v>
      </c>
      <c r="CL22" s="61">
        <f t="shared" si="40"/>
        <v>28096.837267796451</v>
      </c>
      <c r="CM22" s="135">
        <f t="shared" si="41"/>
        <v>10.243412296239844</v>
      </c>
      <c r="CN22" s="61">
        <f t="shared" si="42"/>
        <v>32.254291338601263</v>
      </c>
      <c r="CO22" s="113">
        <v>7.6</v>
      </c>
      <c r="CP22" s="129">
        <v>23804</v>
      </c>
      <c r="CQ22" s="136">
        <v>181</v>
      </c>
      <c r="CR22" s="77">
        <f t="shared" si="43"/>
        <v>2.0281482472922852</v>
      </c>
      <c r="CS22" s="25">
        <v>3.6</v>
      </c>
      <c r="CT22" s="2">
        <f t="shared" si="44"/>
        <v>1.2809338454620642</v>
      </c>
      <c r="CU22" s="7">
        <f t="shared" si="45"/>
        <v>92095.2</v>
      </c>
      <c r="CV22" s="2">
        <f t="shared" si="46"/>
        <v>11.430578103621404</v>
      </c>
      <c r="CW22" s="14">
        <f t="shared" si="47"/>
        <v>920.952</v>
      </c>
      <c r="CX22" s="2">
        <f t="shared" si="48"/>
        <v>6.8254079176333118</v>
      </c>
      <c r="CY22" s="2">
        <f t="shared" si="49"/>
        <v>9.5962888247945188E-2</v>
      </c>
      <c r="CZ22" s="13">
        <f t="shared" si="50"/>
        <v>196.41863877561465</v>
      </c>
      <c r="DA22" s="2">
        <f t="shared" si="51"/>
        <v>5.2802482935336084</v>
      </c>
      <c r="DB22" s="64">
        <v>1.34</v>
      </c>
      <c r="DC22" s="64">
        <v>0.56999999999999995</v>
      </c>
      <c r="DD22" s="64">
        <v>2.19</v>
      </c>
      <c r="DE22" s="64">
        <v>0.54</v>
      </c>
      <c r="DF22" s="64">
        <v>0.45</v>
      </c>
      <c r="DG22" s="64">
        <v>0.48</v>
      </c>
      <c r="DH22" s="65">
        <v>5.166666666666667</v>
      </c>
      <c r="DI22" s="15">
        <v>10.833333333333332</v>
      </c>
      <c r="DJ22" s="67">
        <v>28.233333333333334</v>
      </c>
      <c r="DK22" s="15">
        <v>12.233333333333334</v>
      </c>
      <c r="DL22" s="15">
        <f>DI22+DK22</f>
        <v>23.066666666666666</v>
      </c>
      <c r="DM22" s="13">
        <v>7</v>
      </c>
      <c r="DP22" s="12">
        <v>2.57</v>
      </c>
      <c r="DR22" s="13">
        <f>AVERAGE(DM22:DQ22)</f>
        <v>4.7850000000000001</v>
      </c>
      <c r="DS22" s="16">
        <v>16</v>
      </c>
      <c r="DT22" s="16">
        <v>19</v>
      </c>
      <c r="DU22" s="16">
        <v>12</v>
      </c>
      <c r="DV22" s="17">
        <v>1140</v>
      </c>
      <c r="DW22" s="17">
        <v>10</v>
      </c>
      <c r="DX22" s="77">
        <f t="shared" si="53"/>
        <v>2.3025850929940459</v>
      </c>
      <c r="DY22" s="17">
        <v>24153000</v>
      </c>
      <c r="DZ22" s="17">
        <f t="shared" si="54"/>
        <v>24153</v>
      </c>
      <c r="EA22" s="129">
        <f t="shared" si="55"/>
        <v>10.09216387496809</v>
      </c>
      <c r="EB22" s="17">
        <v>34000000</v>
      </c>
      <c r="EC22" s="17">
        <f t="shared" si="56"/>
        <v>34000</v>
      </c>
      <c r="ED22" s="126">
        <f t="shared" si="57"/>
        <v>10.434115803598299</v>
      </c>
      <c r="EE22" s="123">
        <f t="shared" si="58"/>
        <v>0.71038235294117646</v>
      </c>
      <c r="EF22" s="123">
        <f t="shared" si="59"/>
        <v>1.4076926261748024</v>
      </c>
      <c r="EG22" s="77">
        <f t="shared" si="60"/>
        <v>0.34195192863020807</v>
      </c>
      <c r="EH22" s="113">
        <v>38.4</v>
      </c>
      <c r="EI22" s="77">
        <v>0.61</v>
      </c>
      <c r="EJ22" s="77">
        <v>8.1000000000000003E-2</v>
      </c>
      <c r="EK22" s="77">
        <f t="shared" si="61"/>
        <v>-2.5133061243096981</v>
      </c>
      <c r="EL22" s="16">
        <v>0</v>
      </c>
    </row>
    <row r="23" spans="1:142" x14ac:dyDescent="0.3">
      <c r="A23" s="30">
        <f t="shared" si="0"/>
        <v>22</v>
      </c>
      <c r="B23" s="1" t="s">
        <v>46</v>
      </c>
      <c r="C23" s="1" t="s">
        <v>5</v>
      </c>
      <c r="D23" s="149" t="s">
        <v>1</v>
      </c>
      <c r="E23" s="16">
        <v>0</v>
      </c>
      <c r="F23" s="16">
        <v>1</v>
      </c>
      <c r="G23" s="16">
        <v>0</v>
      </c>
      <c r="H23" s="16">
        <v>0</v>
      </c>
      <c r="I23" s="16">
        <v>0</v>
      </c>
      <c r="J23" s="17">
        <v>353</v>
      </c>
      <c r="K23" s="17">
        <v>1716</v>
      </c>
      <c r="L23" s="2">
        <v>22.541487</v>
      </c>
      <c r="M23" s="2">
        <f t="shared" si="1"/>
        <v>22.541487</v>
      </c>
      <c r="N23" s="2">
        <v>114.063427</v>
      </c>
      <c r="O23" s="3">
        <v>10484</v>
      </c>
      <c r="P23" s="3">
        <v>11072.130999999999</v>
      </c>
      <c r="Q23" s="3">
        <v>11482.671</v>
      </c>
      <c r="R23" s="6">
        <v>11908</v>
      </c>
      <c r="S23" s="134">
        <f t="shared" si="2"/>
        <v>9.3849657221356662</v>
      </c>
      <c r="T23" s="6">
        <v>1433783.692</v>
      </c>
      <c r="U23" s="3">
        <f t="shared" si="3"/>
        <v>1433.783692</v>
      </c>
      <c r="V23" s="6">
        <f t="shared" si="4"/>
        <v>7.2680721673828224</v>
      </c>
      <c r="W23" s="4">
        <f t="shared" si="5"/>
        <v>0.83052974213909536</v>
      </c>
      <c r="X23" s="4">
        <v>2.9331215372623674</v>
      </c>
      <c r="Y23" s="11">
        <v>0.56000000000000005</v>
      </c>
      <c r="Z23" s="4">
        <f t="shared" si="6"/>
        <v>5.2377170308256558</v>
      </c>
      <c r="AA23" s="17">
        <v>104119</v>
      </c>
      <c r="AB23" s="126">
        <f t="shared" si="7"/>
        <v>1041.19</v>
      </c>
      <c r="AC23" s="14">
        <v>1041.19</v>
      </c>
      <c r="AD23" s="2">
        <f t="shared" si="8"/>
        <v>6.9481195687715616</v>
      </c>
      <c r="AE23" s="6">
        <f t="shared" si="9"/>
        <v>11.436913531632074</v>
      </c>
      <c r="AF23" s="6">
        <f t="shared" si="10"/>
        <v>2.4368461533641059</v>
      </c>
      <c r="AG23" s="5">
        <v>9596960</v>
      </c>
      <c r="AH23" s="7">
        <f t="shared" si="11"/>
        <v>9596.9599999999991</v>
      </c>
      <c r="AI23" s="2">
        <f t="shared" si="12"/>
        <v>1.0849164735499576E-2</v>
      </c>
      <c r="AJ23" s="8">
        <f t="shared" si="13"/>
        <v>149.39977784631802</v>
      </c>
      <c r="AK23" s="134">
        <f t="shared" si="14"/>
        <v>5.0066257857251752</v>
      </c>
      <c r="AL23" s="8">
        <f t="shared" si="15"/>
        <v>76.552413239842963</v>
      </c>
      <c r="AM23" s="20">
        <v>13.61</v>
      </c>
      <c r="AN23" s="53">
        <v>389600000000</v>
      </c>
      <c r="AO23" s="20">
        <f t="shared" si="16"/>
        <v>389.6</v>
      </c>
      <c r="AP23" s="20">
        <f t="shared" si="17"/>
        <v>5.96512057176838</v>
      </c>
      <c r="AQ23" s="72">
        <f t="shared" si="18"/>
        <v>33929.388031756724</v>
      </c>
      <c r="AR23" s="72">
        <f t="shared" si="19"/>
        <v>10.432036821416292</v>
      </c>
      <c r="AS23" s="72">
        <f t="shared" si="20"/>
        <v>2.8626010286554004</v>
      </c>
      <c r="AT23" s="73">
        <v>363.2</v>
      </c>
      <c r="AU23" s="20">
        <f t="shared" si="21"/>
        <v>5.8949536467271386</v>
      </c>
      <c r="AV23" s="73">
        <f t="shared" si="67"/>
        <v>2.668626010286554</v>
      </c>
      <c r="AW23" s="53">
        <v>363228</v>
      </c>
      <c r="AX23" s="53">
        <v>33731</v>
      </c>
      <c r="AY23" s="53">
        <f t="shared" si="68"/>
        <v>32805.608965428604</v>
      </c>
      <c r="AZ23" s="53">
        <f t="shared" si="69"/>
        <v>407990.78330100002</v>
      </c>
      <c r="BA23" s="22">
        <f t="shared" si="22"/>
        <v>12.918999863182613</v>
      </c>
      <c r="BB23" s="53">
        <v>35531</v>
      </c>
      <c r="BC23" s="22">
        <f t="shared" si="23"/>
        <v>10.478160833848387</v>
      </c>
      <c r="BD23" s="22">
        <v>1.8</v>
      </c>
      <c r="BE23" s="22">
        <f t="shared" si="70"/>
        <v>1.8</v>
      </c>
      <c r="BF23" s="54">
        <v>5.3363374937001575</v>
      </c>
      <c r="BG23" s="54">
        <f t="shared" si="71"/>
        <v>5.3363374937001575</v>
      </c>
      <c r="BH23" s="21">
        <v>16.126999999999999</v>
      </c>
      <c r="BI23" s="20">
        <f t="shared" si="24"/>
        <v>2.7804948859983787</v>
      </c>
      <c r="BJ23" s="22">
        <v>0.51</v>
      </c>
      <c r="BK23" s="22">
        <v>0.75800000000000001</v>
      </c>
      <c r="BL23" s="23">
        <v>76.7</v>
      </c>
      <c r="BM23" s="24">
        <v>-13</v>
      </c>
      <c r="BN23" s="77">
        <v>0.63600000000000001</v>
      </c>
      <c r="BO23" s="77">
        <f t="shared" si="25"/>
        <v>0.122</v>
      </c>
      <c r="BP23" s="113">
        <v>1.7</v>
      </c>
      <c r="BQ23" s="77">
        <f t="shared" si="26"/>
        <v>0.53062825106217038</v>
      </c>
      <c r="BR23" s="113">
        <v>1.3</v>
      </c>
      <c r="BS23" s="9">
        <v>26417</v>
      </c>
      <c r="BT23" s="19">
        <v>96.9</v>
      </c>
      <c r="BU23" s="18">
        <v>69606</v>
      </c>
      <c r="BV23" s="60">
        <f t="shared" si="27"/>
        <v>11.150606049503462</v>
      </c>
      <c r="BW23" s="61">
        <f t="shared" si="72"/>
        <v>5845.3140745717164</v>
      </c>
      <c r="BX23" s="60">
        <f t="shared" si="28"/>
        <v>8.6733956063499313</v>
      </c>
      <c r="BY23" s="60">
        <f t="shared" si="29"/>
        <v>66.852351636108679</v>
      </c>
      <c r="BZ23" s="60">
        <f t="shared" si="30"/>
        <v>4.2024864807319009</v>
      </c>
      <c r="CA23" s="60">
        <f t="shared" si="31"/>
        <v>17.866016427104721</v>
      </c>
      <c r="CB23" s="60">
        <f t="shared" si="32"/>
        <v>2.8829003847410362</v>
      </c>
      <c r="CC23" s="18">
        <v>67975.75</v>
      </c>
      <c r="CD23" s="18">
        <f t="shared" si="33"/>
        <v>18882.154288350001</v>
      </c>
      <c r="CE23" s="18">
        <f t="shared" si="34"/>
        <v>9.8459725374459222</v>
      </c>
      <c r="CF23" s="18">
        <f t="shared" si="35"/>
        <v>19.013504404035654</v>
      </c>
      <c r="CG23" s="18">
        <f t="shared" si="36"/>
        <v>1801.0448577212899</v>
      </c>
      <c r="CH23" s="135">
        <f t="shared" si="37"/>
        <v>7.4961222519847626</v>
      </c>
      <c r="CI23" s="9">
        <v>357513</v>
      </c>
      <c r="CJ23" s="9">
        <f t="shared" si="38"/>
        <v>99309.174611400013</v>
      </c>
      <c r="CK23" s="135">
        <f t="shared" si="39"/>
        <v>11.505993238629355</v>
      </c>
      <c r="CL23" s="61">
        <f t="shared" si="40"/>
        <v>9472.4508404616572</v>
      </c>
      <c r="CM23" s="135">
        <f t="shared" si="41"/>
        <v>9.1561429531681942</v>
      </c>
      <c r="CN23" s="61">
        <f t="shared" si="42"/>
        <v>19.013504404035658</v>
      </c>
      <c r="CO23" s="113"/>
      <c r="CP23" s="129"/>
      <c r="CQ23" s="136"/>
      <c r="CR23" s="77" t="str">
        <f t="shared" si="43"/>
        <v/>
      </c>
      <c r="CS23" s="25">
        <v>3.6</v>
      </c>
      <c r="CT23" s="2">
        <f t="shared" si="44"/>
        <v>1.2809338454620642</v>
      </c>
      <c r="CU23" s="7">
        <f t="shared" si="45"/>
        <v>42868.800000000003</v>
      </c>
      <c r="CV23" s="2">
        <f t="shared" si="46"/>
        <v>10.665899567597732</v>
      </c>
      <c r="CW23" s="14">
        <f t="shared" si="47"/>
        <v>428.68800000000005</v>
      </c>
      <c r="CX23" s="2">
        <f t="shared" si="48"/>
        <v>6.0607293816096401</v>
      </c>
      <c r="CY23" s="2">
        <f t="shared" si="49"/>
        <v>4.4669145229322624E-2</v>
      </c>
      <c r="CZ23" s="13">
        <f t="shared" si="50"/>
        <v>411.72888713875471</v>
      </c>
      <c r="DA23" s="2">
        <f t="shared" si="51"/>
        <v>6.0203650918202163</v>
      </c>
      <c r="DB23" s="64">
        <v>1.34</v>
      </c>
      <c r="DC23" s="64">
        <v>0.47</v>
      </c>
      <c r="DD23" s="64">
        <v>2.04</v>
      </c>
      <c r="DE23" s="64">
        <v>0.4</v>
      </c>
      <c r="DF23" s="64">
        <v>0.81</v>
      </c>
      <c r="DG23" s="64">
        <v>0.45</v>
      </c>
      <c r="DH23" s="65">
        <v>14.366666666666667</v>
      </c>
      <c r="DI23" s="15">
        <v>1.6333333333333329</v>
      </c>
      <c r="DJ23" s="67">
        <v>28.400000000000002</v>
      </c>
      <c r="DK23" s="15">
        <v>12.400000000000002</v>
      </c>
      <c r="DL23" s="15">
        <f>DI23+DK23</f>
        <v>14.033333333333335</v>
      </c>
      <c r="DM23" s="13">
        <v>2</v>
      </c>
      <c r="DR23" s="13">
        <f>AVERAGE(DM23:DQ23)</f>
        <v>2</v>
      </c>
      <c r="DS23" s="16">
        <v>22</v>
      </c>
      <c r="DT23" s="16">
        <v>25</v>
      </c>
      <c r="DU23" s="16">
        <v>18</v>
      </c>
      <c r="DV23" s="17">
        <v>1867</v>
      </c>
      <c r="DW23" s="17">
        <v>9</v>
      </c>
      <c r="DX23" s="77">
        <f t="shared" si="53"/>
        <v>2.1972245773362196</v>
      </c>
      <c r="DY23" s="17">
        <v>11908000</v>
      </c>
      <c r="DZ23" s="17">
        <f t="shared" si="54"/>
        <v>11908</v>
      </c>
      <c r="EA23" s="129">
        <f t="shared" si="55"/>
        <v>9.3849657221356662</v>
      </c>
      <c r="EB23" s="17">
        <v>11980000</v>
      </c>
      <c r="EC23" s="17">
        <f t="shared" si="56"/>
        <v>11980</v>
      </c>
      <c r="ED23" s="126">
        <f t="shared" si="57"/>
        <v>9.3909938716694406</v>
      </c>
      <c r="EE23" s="123">
        <f t="shared" si="58"/>
        <v>0.99398998330550914</v>
      </c>
      <c r="EF23" s="123">
        <f t="shared" si="59"/>
        <v>1.0060463553913335</v>
      </c>
      <c r="EG23" s="77">
        <f t="shared" si="60"/>
        <v>6.0281495337732513E-3</v>
      </c>
      <c r="EH23" s="113">
        <v>38.4</v>
      </c>
      <c r="EI23" s="77">
        <v>0.61</v>
      </c>
      <c r="EJ23" s="77">
        <v>8.1000000000000003E-2</v>
      </c>
      <c r="EK23" s="77">
        <f t="shared" si="61"/>
        <v>-2.5133061243096981</v>
      </c>
      <c r="EL23" s="16">
        <v>0</v>
      </c>
    </row>
    <row r="24" spans="1:142" x14ac:dyDescent="0.3">
      <c r="A24" s="30">
        <f t="shared" si="0"/>
        <v>23</v>
      </c>
      <c r="B24" s="1" t="s">
        <v>55</v>
      </c>
      <c r="C24" s="1" t="s">
        <v>56</v>
      </c>
      <c r="D24" s="149" t="s">
        <v>1</v>
      </c>
      <c r="E24" s="16">
        <v>0</v>
      </c>
      <c r="F24" s="16">
        <v>1</v>
      </c>
      <c r="G24" s="16">
        <v>0</v>
      </c>
      <c r="H24" s="16">
        <v>0</v>
      </c>
      <c r="I24" s="16">
        <v>0</v>
      </c>
      <c r="L24" s="2">
        <v>35.694389999999999</v>
      </c>
      <c r="M24" s="2">
        <f t="shared" si="1"/>
        <v>35.694389999999999</v>
      </c>
      <c r="N24" s="2">
        <v>51.421509999999998</v>
      </c>
      <c r="O24" s="3">
        <v>8154</v>
      </c>
      <c r="P24" s="3">
        <v>8352</v>
      </c>
      <c r="Q24" s="3">
        <v>8694</v>
      </c>
      <c r="R24" s="6">
        <v>8896</v>
      </c>
      <c r="S24" s="134">
        <f t="shared" si="2"/>
        <v>9.0933570164903639</v>
      </c>
      <c r="T24" s="6">
        <v>82012</v>
      </c>
      <c r="U24" s="3">
        <f t="shared" si="3"/>
        <v>82.012</v>
      </c>
      <c r="V24" s="6">
        <f t="shared" si="4"/>
        <v>4.4068655780207999</v>
      </c>
      <c r="W24" s="4">
        <f t="shared" si="5"/>
        <v>10.847193093693607</v>
      </c>
      <c r="X24" s="4">
        <v>1.1200000000000001</v>
      </c>
      <c r="Y24" s="11">
        <v>1.19</v>
      </c>
      <c r="Z24" s="4">
        <f t="shared" si="6"/>
        <v>0.94117647058823539</v>
      </c>
      <c r="AA24" s="146">
        <v>78398</v>
      </c>
      <c r="AB24" s="144">
        <f t="shared" si="7"/>
        <v>783.98</v>
      </c>
      <c r="AC24" s="145">
        <v>784</v>
      </c>
      <c r="AD24" s="2">
        <f t="shared" si="8"/>
        <v>6.6644090203504076</v>
      </c>
      <c r="AE24" s="6">
        <f t="shared" si="9"/>
        <v>11.346938775510203</v>
      </c>
      <c r="AF24" s="6">
        <f t="shared" si="10"/>
        <v>2.4289479961399558</v>
      </c>
      <c r="AG24" s="5">
        <v>1648195</v>
      </c>
      <c r="AH24" s="7">
        <f t="shared" si="11"/>
        <v>1648.1949999999999</v>
      </c>
      <c r="AI24" s="2">
        <f t="shared" si="12"/>
        <v>4.7567187135017397E-2</v>
      </c>
      <c r="AJ24" s="8">
        <f t="shared" si="13"/>
        <v>49.75867539945213</v>
      </c>
      <c r="AK24" s="134">
        <f t="shared" si="14"/>
        <v>3.9071848282906814</v>
      </c>
      <c r="AL24" s="8">
        <f t="shared" si="15"/>
        <v>228.03940588087156</v>
      </c>
      <c r="AM24" s="20">
        <v>0.45850000000000002</v>
      </c>
      <c r="AN24" s="53">
        <f>0.236*AM24*1000000000000</f>
        <v>108206000000</v>
      </c>
      <c r="AO24" s="20">
        <f t="shared" si="16"/>
        <v>108.206</v>
      </c>
      <c r="AP24" s="20">
        <f t="shared" si="17"/>
        <v>4.6840368177399929</v>
      </c>
      <c r="AQ24" s="72">
        <f t="shared" si="18"/>
        <v>12446.054750402576</v>
      </c>
      <c r="AR24" s="72">
        <f t="shared" si="19"/>
        <v>9.4291589641555298</v>
      </c>
      <c r="AS24" s="72">
        <f t="shared" si="20"/>
        <v>23.599999999999998</v>
      </c>
      <c r="AU24" s="20"/>
      <c r="AW24" s="53"/>
      <c r="AX24" s="53"/>
      <c r="AY24" s="53"/>
      <c r="AZ24" s="53"/>
      <c r="BA24" s="22"/>
      <c r="BB24" s="53"/>
      <c r="BC24" s="22"/>
      <c r="BG24" s="54"/>
      <c r="BH24" s="116">
        <v>18.166</v>
      </c>
      <c r="BI24" s="20">
        <f t="shared" si="24"/>
        <v>2.8995517150800216</v>
      </c>
      <c r="BJ24" s="22">
        <v>0.40799999999999997</v>
      </c>
      <c r="BK24" s="22">
        <v>0.79700000000000004</v>
      </c>
      <c r="BL24" s="23">
        <v>76.5</v>
      </c>
      <c r="BM24" s="24">
        <v>-2</v>
      </c>
      <c r="BN24" s="77">
        <v>0.70599999999999996</v>
      </c>
      <c r="BO24" s="77">
        <f t="shared" si="25"/>
        <v>9.1000000000000081E-2</v>
      </c>
      <c r="BP24" s="113">
        <v>1.9</v>
      </c>
      <c r="BQ24" s="77">
        <f t="shared" si="26"/>
        <v>0.64185388617239469</v>
      </c>
      <c r="BS24" s="9">
        <v>40177</v>
      </c>
      <c r="BT24" s="19">
        <v>145.9</v>
      </c>
      <c r="BU24" s="18">
        <v>24691</v>
      </c>
      <c r="BV24" s="60">
        <f t="shared" si="27"/>
        <v>10.114194083746655</v>
      </c>
      <c r="BW24" s="61">
        <f t="shared" si="72"/>
        <v>2775.5170863309354</v>
      </c>
      <c r="BX24" s="60">
        <f t="shared" si="28"/>
        <v>7.9285923462384282</v>
      </c>
      <c r="BY24" s="60">
        <f t="shared" si="29"/>
        <v>31.493622448979593</v>
      </c>
      <c r="BZ24" s="60">
        <f t="shared" si="30"/>
        <v>3.4497850633962468</v>
      </c>
      <c r="CA24" s="60">
        <f t="shared" si="31"/>
        <v>22.818512836626436</v>
      </c>
      <c r="CB24" s="60">
        <f t="shared" si="32"/>
        <v>3.1275721730126165</v>
      </c>
      <c r="CC24" s="18">
        <v>308303.53999999998</v>
      </c>
      <c r="CD24" s="18">
        <f t="shared" si="33"/>
        <v>85639.879073411998</v>
      </c>
      <c r="CE24" s="18">
        <f t="shared" si="34"/>
        <v>11.357906330668666</v>
      </c>
      <c r="CF24" s="18">
        <f t="shared" si="35"/>
        <v>27.75496509288309</v>
      </c>
      <c r="CG24" s="18">
        <f t="shared" si="36"/>
        <v>10502.805871156734</v>
      </c>
      <c r="CH24" s="135">
        <f t="shared" si="37"/>
        <v>9.2593977262716045</v>
      </c>
      <c r="CI24" s="9">
        <v>1110805</v>
      </c>
      <c r="CJ24" s="9">
        <f t="shared" si="38"/>
        <v>308556.96912900003</v>
      </c>
      <c r="CK24" s="135">
        <f t="shared" si="39"/>
        <v>12.639661770202936</v>
      </c>
      <c r="CL24" s="61">
        <f t="shared" si="40"/>
        <v>37841.178455849898</v>
      </c>
      <c r="CM24" s="135">
        <f t="shared" si="41"/>
        <v>10.541153165805875</v>
      </c>
      <c r="CN24" s="61">
        <f t="shared" si="42"/>
        <v>27.754965092883083</v>
      </c>
      <c r="CO24" s="113">
        <v>8.1999999999999993</v>
      </c>
      <c r="CP24" s="129">
        <v>12671</v>
      </c>
      <c r="CQ24" s="136">
        <v>104.4</v>
      </c>
      <c r="CR24" s="77">
        <f t="shared" si="43"/>
        <v>2.1041341542702074</v>
      </c>
      <c r="CS24" s="25">
        <v>3.2</v>
      </c>
      <c r="CT24" s="2">
        <f t="shared" si="44"/>
        <v>1.1631508098056809</v>
      </c>
      <c r="CU24" s="7">
        <f t="shared" si="45"/>
        <v>28467.200000000001</v>
      </c>
      <c r="CV24" s="2">
        <f t="shared" si="46"/>
        <v>10.256507826296044</v>
      </c>
      <c r="CW24" s="14">
        <f t="shared" si="47"/>
        <v>284.67200000000003</v>
      </c>
      <c r="CX24" s="2">
        <f t="shared" si="48"/>
        <v>5.6513376403079532</v>
      </c>
      <c r="CY24" s="2">
        <f t="shared" si="49"/>
        <v>0.17271742724616929</v>
      </c>
      <c r="CZ24" s="13">
        <f t="shared" si="50"/>
        <v>363.10204081632651</v>
      </c>
      <c r="DA24" s="2">
        <f t="shared" si="51"/>
        <v>5.8946838989396824</v>
      </c>
      <c r="DB24" s="64">
        <v>0.01</v>
      </c>
      <c r="DC24" s="64">
        <v>2.98</v>
      </c>
      <c r="DD24" s="64">
        <v>-0.3</v>
      </c>
      <c r="DE24" s="64">
        <v>3.2</v>
      </c>
      <c r="DF24" s="64">
        <v>0.16</v>
      </c>
      <c r="DG24" s="64">
        <v>2.86</v>
      </c>
      <c r="DH24" s="65">
        <v>6.3</v>
      </c>
      <c r="DI24" s="15">
        <v>9.6999999999999993</v>
      </c>
      <c r="DJ24" s="67">
        <v>30.2</v>
      </c>
      <c r="DK24" s="15">
        <v>14.2</v>
      </c>
      <c r="DL24" s="15"/>
      <c r="DM24" s="13"/>
      <c r="DR24" s="13">
        <v>12</v>
      </c>
      <c r="DS24" s="16">
        <v>17</v>
      </c>
      <c r="DT24" s="16">
        <v>21</v>
      </c>
      <c r="DU24" s="16">
        <v>12</v>
      </c>
      <c r="DV24" s="17">
        <v>230</v>
      </c>
      <c r="DW24" s="17">
        <v>1168</v>
      </c>
      <c r="DX24" s="77">
        <f t="shared" si="53"/>
        <v>7.0630481633881725</v>
      </c>
      <c r="DY24" s="17">
        <v>8847000</v>
      </c>
      <c r="DZ24" s="17">
        <f t="shared" si="54"/>
        <v>8847</v>
      </c>
      <c r="EA24" s="129">
        <f t="shared" si="55"/>
        <v>9.0878336974833864</v>
      </c>
      <c r="EB24" s="17">
        <v>15233000</v>
      </c>
      <c r="EC24" s="17">
        <f t="shared" si="56"/>
        <v>15233</v>
      </c>
      <c r="ED24" s="126">
        <f t="shared" si="57"/>
        <v>9.6312194061367009</v>
      </c>
      <c r="EE24" s="123">
        <f t="shared" si="58"/>
        <v>0.58077857283529177</v>
      </c>
      <c r="EF24" s="123">
        <f t="shared" si="59"/>
        <v>1.7218266078896802</v>
      </c>
      <c r="EG24" s="77">
        <f t="shared" si="60"/>
        <v>0.54338570865331515</v>
      </c>
      <c r="EH24" s="113">
        <v>21.2</v>
      </c>
      <c r="EI24" s="77">
        <v>0.68300000000000005</v>
      </c>
      <c r="EJ24" s="77">
        <v>4.0000000000000001E-3</v>
      </c>
      <c r="EK24" s="77">
        <f t="shared" si="61"/>
        <v>-5.521460917862246</v>
      </c>
      <c r="EL24" s="16">
        <v>0</v>
      </c>
    </row>
    <row r="25" spans="1:142" x14ac:dyDescent="0.3">
      <c r="A25" s="30">
        <f t="shared" si="0"/>
        <v>24</v>
      </c>
      <c r="B25" s="1" t="s">
        <v>47</v>
      </c>
      <c r="C25" s="1" t="s">
        <v>5</v>
      </c>
      <c r="D25" s="149" t="s">
        <v>1</v>
      </c>
      <c r="E25" s="16">
        <v>0</v>
      </c>
      <c r="F25" s="16">
        <v>1</v>
      </c>
      <c r="G25" s="16">
        <v>0</v>
      </c>
      <c r="H25" s="16">
        <v>0</v>
      </c>
      <c r="I25" s="16">
        <v>0</v>
      </c>
      <c r="J25" s="17">
        <v>58</v>
      </c>
      <c r="K25" s="17">
        <v>578</v>
      </c>
      <c r="L25" s="2">
        <v>39.108842000000003</v>
      </c>
      <c r="M25" s="2">
        <f t="shared" si="1"/>
        <v>39.108842000000003</v>
      </c>
      <c r="N25" s="2">
        <v>117.18862</v>
      </c>
      <c r="O25" s="3">
        <v>10570</v>
      </c>
      <c r="P25" s="3">
        <v>11998.245000000001</v>
      </c>
      <c r="Q25" s="3">
        <v>12869.067999999999</v>
      </c>
      <c r="R25" s="6">
        <v>13215</v>
      </c>
      <c r="S25" s="134">
        <f t="shared" si="2"/>
        <v>9.4891078270383904</v>
      </c>
      <c r="T25" s="6">
        <v>1433783.692</v>
      </c>
      <c r="U25" s="3">
        <f t="shared" si="3"/>
        <v>1433.783692</v>
      </c>
      <c r="V25" s="6">
        <f t="shared" si="4"/>
        <v>7.2680721673828224</v>
      </c>
      <c r="W25" s="4">
        <f t="shared" si="5"/>
        <v>0.92168714665503393</v>
      </c>
      <c r="X25" s="4">
        <v>3.9520661906666676</v>
      </c>
      <c r="Y25" s="11">
        <v>0.56000000000000005</v>
      </c>
      <c r="Z25" s="4">
        <f t="shared" si="6"/>
        <v>7.0572610547619057</v>
      </c>
      <c r="AA25" s="17">
        <v>236292</v>
      </c>
      <c r="AB25" s="126">
        <f t="shared" si="7"/>
        <v>2362.92</v>
      </c>
      <c r="AC25" s="14">
        <v>2362.92</v>
      </c>
      <c r="AD25" s="2">
        <f t="shared" si="8"/>
        <v>7.767653421345079</v>
      </c>
      <c r="AE25" s="6">
        <f t="shared" si="9"/>
        <v>5.592656543598598</v>
      </c>
      <c r="AF25" s="6">
        <f t="shared" si="10"/>
        <v>1.7214544056933103</v>
      </c>
      <c r="AG25" s="5">
        <v>9596960</v>
      </c>
      <c r="AH25" s="7">
        <f t="shared" si="11"/>
        <v>9596.9599999999991</v>
      </c>
      <c r="AI25" s="2">
        <f t="shared" si="12"/>
        <v>2.4621546823160669E-2</v>
      </c>
      <c r="AJ25" s="8">
        <f t="shared" si="13"/>
        <v>149.39977784631802</v>
      </c>
      <c r="AK25" s="134">
        <f t="shared" si="14"/>
        <v>5.0066257857251752</v>
      </c>
      <c r="AL25" s="8">
        <f t="shared" si="15"/>
        <v>37.434169074545444</v>
      </c>
      <c r="AM25" s="20">
        <v>13.61</v>
      </c>
      <c r="AN25" s="53">
        <v>204000000000</v>
      </c>
      <c r="AO25" s="20">
        <f t="shared" si="16"/>
        <v>204</v>
      </c>
      <c r="AP25" s="20">
        <f t="shared" si="17"/>
        <v>5.3181199938442161</v>
      </c>
      <c r="AQ25" s="72">
        <f t="shared" si="18"/>
        <v>15851.963794114694</v>
      </c>
      <c r="AR25" s="72">
        <f t="shared" si="19"/>
        <v>9.6710486703129348</v>
      </c>
      <c r="AS25" s="72">
        <f t="shared" si="20"/>
        <v>1.4988978692138133</v>
      </c>
      <c r="AT25" s="73">
        <v>372</v>
      </c>
      <c r="AU25" s="20">
        <f>IF(AT25&lt;&gt;"",LN(AT25),"")</f>
        <v>5.9188938542731462</v>
      </c>
      <c r="AV25" s="73">
        <f t="shared" ref="AV25:AV37" si="73">AT25*1000000000/(AM25*1000000000000)*100</f>
        <v>2.7332843497428363</v>
      </c>
      <c r="AW25" s="53">
        <v>371973</v>
      </c>
      <c r="AX25" s="53">
        <v>24224</v>
      </c>
      <c r="AY25" s="53">
        <f>AW25*1000000/(P25*1000)</f>
        <v>31002.284084047293</v>
      </c>
      <c r="AZ25" s="53">
        <f t="shared" ref="AZ25:AZ37" si="74">Q25*BB25/1000</f>
        <v>340065.90275670285</v>
      </c>
      <c r="BA25" s="22">
        <f t="shared" ref="BA25:BA37" si="75">IF(AZ25&lt;&gt;"",LN(AZ25),"")</f>
        <v>12.73689470944678</v>
      </c>
      <c r="BB25" s="53">
        <v>26425.060677020501</v>
      </c>
      <c r="BC25" s="22">
        <f t="shared" ref="BC25:BC37" si="76">IF(BB25&lt;&gt;"",LN(BB25),"")</f>
        <v>10.182068106933361</v>
      </c>
      <c r="BD25" s="22">
        <v>2.2010606770205001</v>
      </c>
      <c r="BE25" s="22">
        <f t="shared" ref="BE25:BE37" si="77">(BB25-AX25)/1000</f>
        <v>2.2010606770205015</v>
      </c>
      <c r="BF25" s="54">
        <v>9.0862808661678542</v>
      </c>
      <c r="BG25" s="54">
        <f t="shared" ref="BG25:BG37" si="78">BE25*1000/AX25*100</f>
        <v>9.0862808661678542</v>
      </c>
      <c r="BH25" s="21">
        <v>16.126999999999999</v>
      </c>
      <c r="BI25" s="20">
        <f t="shared" si="24"/>
        <v>2.7804948859983787</v>
      </c>
      <c r="BJ25" s="22">
        <v>0.51</v>
      </c>
      <c r="BK25" s="22">
        <v>0.75800000000000001</v>
      </c>
      <c r="BL25" s="23">
        <v>76.7</v>
      </c>
      <c r="BM25" s="24">
        <v>-13</v>
      </c>
      <c r="BN25" s="77">
        <v>0.63600000000000001</v>
      </c>
      <c r="BO25" s="77">
        <f t="shared" si="25"/>
        <v>0.122</v>
      </c>
      <c r="BP25" s="113">
        <v>1.7</v>
      </c>
      <c r="BQ25" s="77">
        <f t="shared" si="26"/>
        <v>0.53062825106217038</v>
      </c>
      <c r="BR25" s="113">
        <v>1.3</v>
      </c>
      <c r="BS25" s="9">
        <v>26417</v>
      </c>
      <c r="BT25" s="19">
        <v>96.9</v>
      </c>
      <c r="BU25" s="18">
        <v>80580</v>
      </c>
      <c r="BV25" s="60">
        <f t="shared" si="27"/>
        <v>11.297005758745339</v>
      </c>
      <c r="BW25" s="61">
        <f t="shared" si="72"/>
        <v>6097.616345062429</v>
      </c>
      <c r="BX25" s="60">
        <f t="shared" si="28"/>
        <v>8.7156532106890854</v>
      </c>
      <c r="BY25" s="60">
        <f t="shared" si="29"/>
        <v>34.101873952567161</v>
      </c>
      <c r="BZ25" s="60">
        <f t="shared" si="30"/>
        <v>3.5293523374002591</v>
      </c>
      <c r="CA25" s="60">
        <f t="shared" si="31"/>
        <v>39.5</v>
      </c>
      <c r="CB25" s="60">
        <f t="shared" si="32"/>
        <v>3.6763006719070761</v>
      </c>
      <c r="CD25" s="18" t="str">
        <f t="shared" si="33"/>
        <v/>
      </c>
      <c r="CE25" s="18" t="str">
        <f t="shared" si="34"/>
        <v/>
      </c>
      <c r="CF25" s="18" t="str">
        <f t="shared" si="35"/>
        <v/>
      </c>
      <c r="CG25" s="18" t="str">
        <f t="shared" si="36"/>
        <v/>
      </c>
      <c r="CH25" s="135" t="str">
        <f t="shared" si="37"/>
        <v/>
      </c>
      <c r="CJ25" s="9" t="str">
        <f t="shared" si="38"/>
        <v/>
      </c>
      <c r="CK25" s="135" t="str">
        <f t="shared" si="39"/>
        <v/>
      </c>
      <c r="CL25" s="61" t="str">
        <f t="shared" si="40"/>
        <v/>
      </c>
      <c r="CM25" s="135" t="str">
        <f t="shared" si="41"/>
        <v/>
      </c>
      <c r="CN25" s="61" t="str">
        <f t="shared" si="42"/>
        <v/>
      </c>
      <c r="CO25" s="113">
        <v>9</v>
      </c>
      <c r="CP25" s="129">
        <v>7971</v>
      </c>
      <c r="CQ25" s="136">
        <v>71.400000000000006</v>
      </c>
      <c r="CR25" s="77">
        <f t="shared" si="43"/>
        <v>2.1972245773362196</v>
      </c>
      <c r="CS25" s="25">
        <v>3.6</v>
      </c>
      <c r="CT25" s="2">
        <f t="shared" si="44"/>
        <v>1.2809338454620642</v>
      </c>
      <c r="CU25" s="7">
        <f t="shared" si="45"/>
        <v>47574</v>
      </c>
      <c r="CV25" s="2">
        <f t="shared" si="46"/>
        <v>10.770041672500454</v>
      </c>
      <c r="CW25" s="14">
        <f t="shared" si="47"/>
        <v>475.74</v>
      </c>
      <c r="CX25" s="2">
        <f t="shared" si="48"/>
        <v>6.1648714865123626</v>
      </c>
      <c r="CY25" s="2">
        <f t="shared" si="49"/>
        <v>4.9571947783464763E-2</v>
      </c>
      <c r="CZ25" s="13">
        <f t="shared" si="50"/>
        <v>201.33563556954954</v>
      </c>
      <c r="DA25" s="2">
        <f t="shared" si="51"/>
        <v>5.3049733441494205</v>
      </c>
      <c r="DB25" s="64">
        <v>1.04</v>
      </c>
      <c r="DC25" s="64">
        <v>-1.1299999999999999</v>
      </c>
      <c r="DD25" s="64">
        <v>1.31</v>
      </c>
      <c r="DE25" s="64">
        <v>-0.37</v>
      </c>
      <c r="DF25" s="64">
        <v>0.87</v>
      </c>
      <c r="DG25" s="64">
        <v>-0.56000000000000005</v>
      </c>
      <c r="DH25" s="65">
        <v>-2.9</v>
      </c>
      <c r="DI25" s="15">
        <v>18.899999999999999</v>
      </c>
      <c r="DJ25" s="67">
        <v>27.3</v>
      </c>
      <c r="DK25" s="15">
        <v>11.3</v>
      </c>
      <c r="DL25" s="15">
        <f>DI25+DK25</f>
        <v>30.2</v>
      </c>
      <c r="DM25" s="13">
        <v>6.7</v>
      </c>
      <c r="DR25" s="13">
        <f>AVERAGE(DM25:DQ25)</f>
        <v>6.7</v>
      </c>
      <c r="DS25" s="16">
        <v>13</v>
      </c>
      <c r="DT25" s="16">
        <v>17</v>
      </c>
      <c r="DU25" s="16">
        <v>8</v>
      </c>
      <c r="DV25" s="17">
        <v>520</v>
      </c>
      <c r="DW25" s="17">
        <v>7</v>
      </c>
      <c r="DX25" s="77">
        <f t="shared" si="53"/>
        <v>1.9459101490553132</v>
      </c>
      <c r="DY25" s="17">
        <v>12784000</v>
      </c>
      <c r="DZ25" s="17">
        <f t="shared" si="54"/>
        <v>12784</v>
      </c>
      <c r="EA25" s="129">
        <f t="shared" si="55"/>
        <v>9.4559496680060562</v>
      </c>
      <c r="EB25" s="17">
        <v>15469000</v>
      </c>
      <c r="EC25" s="17">
        <f t="shared" si="56"/>
        <v>15469</v>
      </c>
      <c r="ED25" s="126">
        <f t="shared" si="57"/>
        <v>9.6465933002366651</v>
      </c>
      <c r="EE25" s="123">
        <f t="shared" si="58"/>
        <v>0.82642704764367447</v>
      </c>
      <c r="EF25" s="123">
        <f t="shared" si="59"/>
        <v>1.2100281602002503</v>
      </c>
      <c r="EG25" s="77">
        <f t="shared" si="60"/>
        <v>0.19064363223060898</v>
      </c>
      <c r="EH25" s="113">
        <v>38.4</v>
      </c>
      <c r="EI25" s="77">
        <v>0.61</v>
      </c>
      <c r="EJ25" s="77">
        <v>8.1000000000000003E-2</v>
      </c>
      <c r="EK25" s="77">
        <f t="shared" si="61"/>
        <v>-2.5133061243096981</v>
      </c>
      <c r="EL25" s="16">
        <v>0</v>
      </c>
    </row>
    <row r="26" spans="1:142" x14ac:dyDescent="0.3">
      <c r="A26" s="30">
        <f t="shared" si="0"/>
        <v>25</v>
      </c>
      <c r="B26" s="1" t="s">
        <v>48</v>
      </c>
      <c r="C26" s="1" t="s">
        <v>40</v>
      </c>
      <c r="D26" s="149" t="s">
        <v>1</v>
      </c>
      <c r="E26" s="16">
        <v>0</v>
      </c>
      <c r="F26" s="16">
        <v>1</v>
      </c>
      <c r="G26" s="16">
        <v>0</v>
      </c>
      <c r="H26" s="16">
        <v>0</v>
      </c>
      <c r="I26" s="16">
        <v>0</v>
      </c>
      <c r="J26" s="17">
        <v>406</v>
      </c>
      <c r="K26" s="17">
        <v>7036</v>
      </c>
      <c r="L26" s="2">
        <v>35.689500000000002</v>
      </c>
      <c r="M26" s="2">
        <f t="shared" si="1"/>
        <v>35.689500000000002</v>
      </c>
      <c r="N26" s="2">
        <v>139.69171</v>
      </c>
      <c r="O26" s="3">
        <v>36976</v>
      </c>
      <c r="P26" s="3">
        <v>37185.741999999998</v>
      </c>
      <c r="Q26" s="3">
        <v>37326.705999999998</v>
      </c>
      <c r="R26" s="6">
        <v>37468</v>
      </c>
      <c r="S26" s="134">
        <f t="shared" si="2"/>
        <v>10.531242514329021</v>
      </c>
      <c r="T26" s="6">
        <v>126860.299</v>
      </c>
      <c r="U26" s="3">
        <f t="shared" si="3"/>
        <v>126.860299</v>
      </c>
      <c r="V26" s="6">
        <f t="shared" si="4"/>
        <v>4.8430864731318719</v>
      </c>
      <c r="W26" s="4">
        <f t="shared" si="5"/>
        <v>29.534850773132739</v>
      </c>
      <c r="X26" s="4">
        <v>0.44865308022365097</v>
      </c>
      <c r="Y26" s="11">
        <v>-0.03</v>
      </c>
      <c r="Z26" s="4">
        <f t="shared" si="6"/>
        <v>-14.955102674121699</v>
      </c>
      <c r="AA26" s="17">
        <v>643240</v>
      </c>
      <c r="AB26" s="126">
        <f t="shared" si="7"/>
        <v>6432.4000000000005</v>
      </c>
      <c r="AC26" s="14">
        <v>6432.4</v>
      </c>
      <c r="AD26" s="2">
        <f t="shared" si="8"/>
        <v>8.7691029979798696</v>
      </c>
      <c r="AE26" s="6">
        <f t="shared" si="9"/>
        <v>5.8248865120328341</v>
      </c>
      <c r="AF26" s="6">
        <f t="shared" si="10"/>
        <v>1.7621395163491518</v>
      </c>
      <c r="AG26" s="5">
        <v>377915</v>
      </c>
      <c r="AH26" s="7">
        <f t="shared" si="11"/>
        <v>377.91500000000002</v>
      </c>
      <c r="AI26" s="2">
        <f t="shared" si="12"/>
        <v>1.7020758636201263</v>
      </c>
      <c r="AJ26" s="8">
        <f t="shared" si="13"/>
        <v>335.68474127780053</v>
      </c>
      <c r="AK26" s="134">
        <f t="shared" si="14"/>
        <v>5.8161724495058262</v>
      </c>
      <c r="AL26" s="8">
        <f t="shared" si="15"/>
        <v>17.352252860407404</v>
      </c>
      <c r="AM26" s="20">
        <v>4.9710000000000001</v>
      </c>
      <c r="AN26" s="53">
        <v>976000000000</v>
      </c>
      <c r="AO26" s="20">
        <f t="shared" si="16"/>
        <v>976</v>
      </c>
      <c r="AP26" s="20">
        <f t="shared" si="17"/>
        <v>6.8834625864130921</v>
      </c>
      <c r="AQ26" s="72">
        <f t="shared" si="18"/>
        <v>26147.498790812133</v>
      </c>
      <c r="AR26" s="72">
        <f t="shared" si="19"/>
        <v>10.171508816383547</v>
      </c>
      <c r="AS26" s="72">
        <f t="shared" si="20"/>
        <v>19.633876483604908</v>
      </c>
      <c r="AT26" s="73">
        <v>1617</v>
      </c>
      <c r="AU26" s="20">
        <f>IF(AT26&lt;&gt;"",LN(AT26),"")</f>
        <v>7.3883278595771067</v>
      </c>
      <c r="AV26" s="73">
        <f t="shared" si="73"/>
        <v>32.528666264333133</v>
      </c>
      <c r="AW26" s="53">
        <v>1616792</v>
      </c>
      <c r="AX26" s="53">
        <v>43664</v>
      </c>
      <c r="AY26" s="53">
        <f>AW26*1000000/(P26*1000)</f>
        <v>43478.815079177388</v>
      </c>
      <c r="AZ26" s="53">
        <f t="shared" si="74"/>
        <v>1660686.1070790342</v>
      </c>
      <c r="BA26" s="22">
        <f t="shared" si="75"/>
        <v>14.32274139245806</v>
      </c>
      <c r="BB26" s="53">
        <v>44490.561451606103</v>
      </c>
      <c r="BC26" s="22">
        <f t="shared" si="76"/>
        <v>10.703032343446377</v>
      </c>
      <c r="BD26" s="22">
        <v>0.8265614516061035</v>
      </c>
      <c r="BE26" s="22">
        <f t="shared" si="77"/>
        <v>0.82656145160610317</v>
      </c>
      <c r="BF26" s="54">
        <v>1.8930044237955825</v>
      </c>
      <c r="BG26" s="54">
        <f t="shared" si="78"/>
        <v>1.8930044237955825</v>
      </c>
      <c r="BH26" s="21">
        <v>40.798999999999999</v>
      </c>
      <c r="BI26" s="20">
        <f t="shared" si="24"/>
        <v>3.7086575713058241</v>
      </c>
      <c r="BJ26" s="22">
        <v>0.29899999999999999</v>
      </c>
      <c r="BK26" s="22">
        <v>0.91500000000000004</v>
      </c>
      <c r="BL26" s="23">
        <v>84.5</v>
      </c>
      <c r="BM26" s="24">
        <v>6</v>
      </c>
      <c r="BN26" s="77">
        <v>0.88200000000000001</v>
      </c>
      <c r="BO26" s="77">
        <f t="shared" si="25"/>
        <v>3.3000000000000029E-2</v>
      </c>
      <c r="BP26" s="113">
        <v>1.2</v>
      </c>
      <c r="BQ26" s="77">
        <f t="shared" si="26"/>
        <v>0.18232155679395459</v>
      </c>
      <c r="BS26" s="9">
        <v>41143</v>
      </c>
      <c r="BT26" s="19">
        <v>149.5</v>
      </c>
      <c r="BU26" s="18">
        <v>240782</v>
      </c>
      <c r="BV26" s="60">
        <f t="shared" si="27"/>
        <v>12.391647238792256</v>
      </c>
      <c r="BW26" s="61">
        <f t="shared" si="72"/>
        <v>6426.3371410270101</v>
      </c>
      <c r="BX26" s="60">
        <f t="shared" si="28"/>
        <v>8.7681600034453719</v>
      </c>
      <c r="BY26" s="60">
        <f t="shared" si="29"/>
        <v>37.432684534543874</v>
      </c>
      <c r="BZ26" s="60">
        <f t="shared" si="30"/>
        <v>3.622544240812386</v>
      </c>
      <c r="CA26" s="60">
        <f t="shared" si="31"/>
        <v>24.670286885245901</v>
      </c>
      <c r="CB26" s="60">
        <f t="shared" si="32"/>
        <v>3.2055995593851176</v>
      </c>
      <c r="CC26" s="18">
        <v>647454</v>
      </c>
      <c r="CD26" s="18">
        <f t="shared" si="33"/>
        <v>179848.3477212</v>
      </c>
      <c r="CE26" s="18">
        <f t="shared" si="34"/>
        <v>12.099869262099084</v>
      </c>
      <c r="CF26" s="18">
        <f t="shared" si="35"/>
        <v>25.272701084480829</v>
      </c>
      <c r="CG26" s="18">
        <f t="shared" si="36"/>
        <v>4863.921130495457</v>
      </c>
      <c r="CH26" s="135">
        <f t="shared" si="37"/>
        <v>8.4896002085670599</v>
      </c>
      <c r="CI26" s="9">
        <v>2561871</v>
      </c>
      <c r="CJ26" s="9">
        <f t="shared" si="38"/>
        <v>711630.89026380004</v>
      </c>
      <c r="CK26" s="135">
        <f t="shared" si="39"/>
        <v>13.475314643421024</v>
      </c>
      <c r="CL26" s="61">
        <f t="shared" si="40"/>
        <v>19245.751034827998</v>
      </c>
      <c r="CM26" s="135">
        <f t="shared" si="41"/>
        <v>9.8650455898890002</v>
      </c>
      <c r="CN26" s="61">
        <f t="shared" si="42"/>
        <v>25.272701084480836</v>
      </c>
      <c r="CO26" s="113">
        <v>4</v>
      </c>
      <c r="CP26" s="129">
        <v>32999</v>
      </c>
      <c r="CQ26" s="136">
        <v>132.80000000000001</v>
      </c>
      <c r="CR26" s="77">
        <f t="shared" si="43"/>
        <v>1.3862943611198906</v>
      </c>
      <c r="CS26" s="25">
        <v>4.5</v>
      </c>
      <c r="CT26" s="2">
        <f t="shared" si="44"/>
        <v>1.5040773967762742</v>
      </c>
      <c r="CU26" s="7">
        <f t="shared" si="45"/>
        <v>168606</v>
      </c>
      <c r="CV26" s="2">
        <f t="shared" si="46"/>
        <v>12.035319911105296</v>
      </c>
      <c r="CW26" s="14">
        <f t="shared" si="47"/>
        <v>1686.06</v>
      </c>
      <c r="CX26" s="2">
        <f t="shared" si="48"/>
        <v>7.4301497251172037</v>
      </c>
      <c r="CY26" s="2">
        <f t="shared" si="49"/>
        <v>4.4614794332058798</v>
      </c>
      <c r="CZ26" s="13">
        <f t="shared" si="50"/>
        <v>262.11989304147755</v>
      </c>
      <c r="DA26" s="2">
        <f t="shared" si="51"/>
        <v>5.5688020061194718</v>
      </c>
      <c r="DB26" s="64">
        <v>2.85</v>
      </c>
      <c r="DC26" s="64">
        <v>0.83</v>
      </c>
      <c r="DD26" s="64">
        <v>4.82</v>
      </c>
      <c r="DE26" s="64">
        <v>1.47</v>
      </c>
      <c r="DF26" s="64">
        <v>1.52</v>
      </c>
      <c r="DG26" s="64">
        <v>0.99</v>
      </c>
      <c r="DH26" s="65">
        <v>2.4</v>
      </c>
      <c r="DI26" s="15">
        <v>13.6</v>
      </c>
      <c r="DJ26" s="67">
        <v>24.599999999999998</v>
      </c>
      <c r="DK26" s="15">
        <v>8.5999999999999979</v>
      </c>
      <c r="DL26" s="15">
        <f>DI26+DK26</f>
        <v>22.199999999999996</v>
      </c>
      <c r="DM26" s="13">
        <v>8</v>
      </c>
      <c r="DR26" s="13">
        <f>AVERAGE(DM26:DQ26)</f>
        <v>8</v>
      </c>
      <c r="DS26" s="16">
        <v>16.3</v>
      </c>
      <c r="DT26" s="16">
        <v>20</v>
      </c>
      <c r="DU26" s="16">
        <v>13</v>
      </c>
      <c r="DV26" s="17">
        <v>1520</v>
      </c>
      <c r="DW26" s="17">
        <v>22</v>
      </c>
      <c r="DX26" s="77">
        <f t="shared" si="53"/>
        <v>3.0910424533583161</v>
      </c>
      <c r="DY26" s="17">
        <v>13617000</v>
      </c>
      <c r="DZ26" s="17">
        <f t="shared" si="54"/>
        <v>13617</v>
      </c>
      <c r="EA26" s="129">
        <f t="shared" si="55"/>
        <v>9.5190742911245749</v>
      </c>
      <c r="EB26" s="17">
        <v>37800000</v>
      </c>
      <c r="EC26" s="17">
        <f t="shared" si="56"/>
        <v>37800</v>
      </c>
      <c r="ED26" s="126">
        <f t="shared" si="57"/>
        <v>10.54006438160768</v>
      </c>
      <c r="EE26" s="123">
        <f t="shared" si="58"/>
        <v>0.36023809523809525</v>
      </c>
      <c r="EF26" s="123">
        <f t="shared" si="59"/>
        <v>2.7759418374091211</v>
      </c>
      <c r="EG26" s="77">
        <f t="shared" si="60"/>
        <v>1.0209900904831037</v>
      </c>
      <c r="EH26" s="113">
        <v>48.6</v>
      </c>
      <c r="EI26" s="77">
        <v>0.80800000000000005</v>
      </c>
      <c r="EJ26" s="77">
        <v>0.28499999999999998</v>
      </c>
      <c r="EK26" s="77">
        <f t="shared" si="61"/>
        <v>-1.2552660987134867</v>
      </c>
      <c r="EL26" s="16">
        <v>0</v>
      </c>
    </row>
    <row r="27" spans="1:142" x14ac:dyDescent="0.3">
      <c r="A27" s="30">
        <f t="shared" si="0"/>
        <v>26</v>
      </c>
      <c r="B27" s="1" t="s">
        <v>52</v>
      </c>
      <c r="C27" s="1" t="s">
        <v>195</v>
      </c>
      <c r="D27" s="149" t="s">
        <v>37</v>
      </c>
      <c r="E27" s="16">
        <v>0</v>
      </c>
      <c r="F27" s="16">
        <v>0</v>
      </c>
      <c r="G27" s="16">
        <v>1</v>
      </c>
      <c r="H27" s="16">
        <v>0</v>
      </c>
      <c r="I27" s="16">
        <v>0</v>
      </c>
      <c r="J27" s="17">
        <v>335</v>
      </c>
      <c r="K27" s="17">
        <v>3860</v>
      </c>
      <c r="L27" s="2">
        <v>51.50853</v>
      </c>
      <c r="M27" s="2">
        <f t="shared" si="1"/>
        <v>51.50853</v>
      </c>
      <c r="N27" s="2">
        <v>-0.12573999999999999</v>
      </c>
      <c r="O27" s="3">
        <v>8134</v>
      </c>
      <c r="P27" s="3">
        <v>10189.315000000001</v>
      </c>
      <c r="Q27" s="3">
        <v>8718</v>
      </c>
      <c r="R27" s="6">
        <v>9046</v>
      </c>
      <c r="S27" s="134">
        <f t="shared" si="2"/>
        <v>9.1100779500377893</v>
      </c>
      <c r="T27" s="6">
        <v>66574</v>
      </c>
      <c r="U27" s="3">
        <f t="shared" si="3"/>
        <v>66.573999999999998</v>
      </c>
      <c r="V27" s="6">
        <f t="shared" si="4"/>
        <v>4.1983141109337865</v>
      </c>
      <c r="W27" s="4">
        <f t="shared" si="5"/>
        <v>13.587887163156786</v>
      </c>
      <c r="X27" s="4">
        <v>0.79</v>
      </c>
      <c r="Y27" s="11">
        <v>0.81</v>
      </c>
      <c r="Z27" s="4">
        <f t="shared" si="6"/>
        <v>0.97530864197530864</v>
      </c>
      <c r="AA27" s="17">
        <v>250771</v>
      </c>
      <c r="AB27" s="126">
        <f t="shared" si="7"/>
        <v>2507.71</v>
      </c>
      <c r="AC27" s="14">
        <v>2507</v>
      </c>
      <c r="AD27" s="2">
        <f t="shared" si="8"/>
        <v>7.8268420981582931</v>
      </c>
      <c r="AE27" s="6">
        <f t="shared" si="9"/>
        <v>3.6082967690466692</v>
      </c>
      <c r="AF27" s="6">
        <f t="shared" si="10"/>
        <v>1.2832358518794951</v>
      </c>
      <c r="AG27" s="5">
        <v>243610</v>
      </c>
      <c r="AH27" s="7">
        <f t="shared" si="11"/>
        <v>243.61</v>
      </c>
      <c r="AI27" s="2">
        <f t="shared" si="12"/>
        <v>1.0291038955707894</v>
      </c>
      <c r="AJ27" s="8">
        <f t="shared" si="13"/>
        <v>273.28106399573085</v>
      </c>
      <c r="AK27" s="134">
        <f t="shared" si="14"/>
        <v>5.6105008040196269</v>
      </c>
      <c r="AL27" s="8">
        <f t="shared" si="15"/>
        <v>13.20361065742571</v>
      </c>
      <c r="AM27" s="20">
        <v>3.1</v>
      </c>
      <c r="AN27" s="53">
        <v>650000000000</v>
      </c>
      <c r="AO27" s="20">
        <f t="shared" si="16"/>
        <v>650</v>
      </c>
      <c r="AP27" s="20">
        <f t="shared" si="17"/>
        <v>6.4769723628896827</v>
      </c>
      <c r="AQ27" s="72">
        <f t="shared" si="18"/>
        <v>74558.384950676758</v>
      </c>
      <c r="AR27" s="72">
        <f t="shared" si="19"/>
        <v>11.219337788055618</v>
      </c>
      <c r="AS27" s="72">
        <f t="shared" si="20"/>
        <v>20.967741935483872</v>
      </c>
      <c r="AT27" s="21">
        <v>835.7</v>
      </c>
      <c r="AU27" s="20">
        <f>IF(AW27&lt;&gt;"",LN(AW27),"")</f>
        <v>13.635974717457234</v>
      </c>
      <c r="AV27" s="73">
        <f t="shared" si="73"/>
        <v>26.958064516129031</v>
      </c>
      <c r="AW27" s="72">
        <v>835658</v>
      </c>
      <c r="AX27" s="53">
        <v>57157</v>
      </c>
      <c r="AY27" s="53"/>
      <c r="AZ27" s="53">
        <f t="shared" si="74"/>
        <v>511371.72600000002</v>
      </c>
      <c r="BA27" s="22">
        <f t="shared" si="75"/>
        <v>13.144852052864589</v>
      </c>
      <c r="BB27" s="53">
        <f>AX27+1500</f>
        <v>58657</v>
      </c>
      <c r="BC27" s="22">
        <f t="shared" si="76"/>
        <v>10.97946219904839</v>
      </c>
      <c r="BD27" s="22">
        <v>1.5</v>
      </c>
      <c r="BE27" s="22">
        <f t="shared" si="77"/>
        <v>1.5</v>
      </c>
      <c r="BF27" s="54">
        <f>BD27*1000/AW27*100</f>
        <v>0.17949926883964493</v>
      </c>
      <c r="BG27" s="54">
        <f t="shared" si="78"/>
        <v>2.6243504732578686</v>
      </c>
      <c r="BH27" s="21">
        <v>39.216000000000001</v>
      </c>
      <c r="BI27" s="20">
        <f t="shared" si="24"/>
        <v>3.669084826785757</v>
      </c>
      <c r="BJ27" s="22">
        <v>0.34799999999999998</v>
      </c>
      <c r="BK27" s="22">
        <v>0.92</v>
      </c>
      <c r="BL27" s="23">
        <v>81.2</v>
      </c>
      <c r="BM27" s="24">
        <v>13</v>
      </c>
      <c r="BN27" s="77">
        <v>0.84499999999999997</v>
      </c>
      <c r="BO27" s="77">
        <f t="shared" si="25"/>
        <v>7.5000000000000067E-2</v>
      </c>
      <c r="BP27" s="113">
        <v>1.3</v>
      </c>
      <c r="BQ27" s="77">
        <f t="shared" si="26"/>
        <v>0.26236426446749106</v>
      </c>
      <c r="BS27" s="9">
        <v>32950</v>
      </c>
      <c r="BT27" s="19">
        <v>120.9</v>
      </c>
      <c r="BU27" s="18">
        <v>39945</v>
      </c>
      <c r="BV27" s="60">
        <f t="shared" si="27"/>
        <v>10.595258786916142</v>
      </c>
      <c r="BW27" s="61"/>
      <c r="BX27" s="60"/>
      <c r="BY27" s="60">
        <f t="shared" si="29"/>
        <v>15.9333865177503</v>
      </c>
      <c r="BZ27" s="60">
        <f t="shared" si="30"/>
        <v>2.7684166887578487</v>
      </c>
      <c r="CA27" s="60">
        <f t="shared" si="31"/>
        <v>6.1453846153846152</v>
      </c>
      <c r="CB27" s="60">
        <f t="shared" si="32"/>
        <v>1.8157013310324137</v>
      </c>
      <c r="CC27" s="18">
        <v>182955.66</v>
      </c>
      <c r="CD27" s="18">
        <f t="shared" si="33"/>
        <v>50821.020732348006</v>
      </c>
      <c r="CE27" s="18">
        <f t="shared" si="34"/>
        <v>10.836065341921328</v>
      </c>
      <c r="CF27" s="18">
        <f t="shared" si="35"/>
        <v>25.645485090474807</v>
      </c>
      <c r="CG27" s="18">
        <f t="shared" si="36"/>
        <v>6247.9740265979844</v>
      </c>
      <c r="CH27" s="135">
        <f t="shared" si="37"/>
        <v>8.7400125344362944</v>
      </c>
      <c r="CI27" s="9">
        <v>713403</v>
      </c>
      <c r="CJ27" s="9">
        <f t="shared" si="38"/>
        <v>198167.51585340002</v>
      </c>
      <c r="CK27" s="135">
        <f t="shared" si="39"/>
        <v>12.196867991650485</v>
      </c>
      <c r="CL27" s="61">
        <f t="shared" si="40"/>
        <v>24362.861550700763</v>
      </c>
      <c r="CM27" s="135">
        <f t="shared" si="41"/>
        <v>10.100815184165452</v>
      </c>
      <c r="CN27" s="61">
        <f t="shared" si="42"/>
        <v>25.645485090474811</v>
      </c>
      <c r="CO27" s="113">
        <v>10.4</v>
      </c>
      <c r="CP27" s="129">
        <v>9486</v>
      </c>
      <c r="CQ27" s="136">
        <v>98.9</v>
      </c>
      <c r="CR27" s="77">
        <f t="shared" si="43"/>
        <v>2.341805806147327</v>
      </c>
      <c r="CS27" s="25">
        <v>4.4000000000000004</v>
      </c>
      <c r="CT27" s="2">
        <f t="shared" si="44"/>
        <v>1.4816045409242156</v>
      </c>
      <c r="CU27" s="7">
        <f t="shared" si="45"/>
        <v>39802.400000000001</v>
      </c>
      <c r="CV27" s="2">
        <f t="shared" si="46"/>
        <v>10.591682490962004</v>
      </c>
      <c r="CW27" s="14">
        <f t="shared" si="47"/>
        <v>398.024</v>
      </c>
      <c r="CX27" s="2">
        <f t="shared" si="48"/>
        <v>5.9865123049739122</v>
      </c>
      <c r="CY27" s="2">
        <f t="shared" si="49"/>
        <v>1.6338573950166249</v>
      </c>
      <c r="CZ27" s="13">
        <f t="shared" si="50"/>
        <v>158.76505783805345</v>
      </c>
      <c r="DA27" s="2">
        <f t="shared" si="51"/>
        <v>5.0674254857977559</v>
      </c>
      <c r="DB27" s="64">
        <v>1.1000000000000001</v>
      </c>
      <c r="DC27" s="64">
        <v>0.66</v>
      </c>
      <c r="DD27" s="64">
        <v>1.78</v>
      </c>
      <c r="DE27" s="64">
        <v>0.86</v>
      </c>
      <c r="DF27" s="64">
        <v>0.5</v>
      </c>
      <c r="DG27" s="64">
        <v>0.45</v>
      </c>
      <c r="DH27" s="65">
        <v>4.5999999999999996</v>
      </c>
      <c r="DI27" s="15">
        <f>16-DH27</f>
        <v>11.4</v>
      </c>
      <c r="DJ27" s="67">
        <v>18.3</v>
      </c>
      <c r="DK27" s="15">
        <f>DJ27-16</f>
        <v>2.3000000000000007</v>
      </c>
      <c r="DL27" s="15"/>
      <c r="DM27" s="13"/>
      <c r="DR27" s="13"/>
      <c r="DS27" s="16">
        <v>10.3</v>
      </c>
      <c r="DT27" s="16">
        <v>14.7</v>
      </c>
      <c r="DU27" s="16">
        <v>5.8</v>
      </c>
      <c r="DV27" s="17">
        <v>750</v>
      </c>
      <c r="DW27" s="17">
        <v>18</v>
      </c>
      <c r="DX27" s="77">
        <f t="shared" si="53"/>
        <v>2.8903717578961645</v>
      </c>
      <c r="DY27" s="17">
        <v>8674000</v>
      </c>
      <c r="DZ27" s="17">
        <f t="shared" si="54"/>
        <v>8674</v>
      </c>
      <c r="EA27" s="129">
        <f t="shared" si="55"/>
        <v>9.0680853243953123</v>
      </c>
      <c r="EB27" s="17">
        <v>13880000</v>
      </c>
      <c r="EC27" s="17">
        <f t="shared" si="56"/>
        <v>13880</v>
      </c>
      <c r="ED27" s="126">
        <f t="shared" si="57"/>
        <v>9.538204234060796</v>
      </c>
      <c r="EE27" s="123">
        <f t="shared" si="58"/>
        <v>0.62492795389048994</v>
      </c>
      <c r="EF27" s="123">
        <f t="shared" si="59"/>
        <v>1.600184459303666</v>
      </c>
      <c r="EG27" s="77">
        <f t="shared" si="60"/>
        <v>0.47011890966548392</v>
      </c>
      <c r="EH27" s="113">
        <v>40.6</v>
      </c>
      <c r="EI27" s="77">
        <v>0.86</v>
      </c>
      <c r="EJ27" s="77">
        <v>0.26100000000000001</v>
      </c>
      <c r="EK27" s="77">
        <f t="shared" si="61"/>
        <v>-1.3432348716594436</v>
      </c>
      <c r="EL27" s="16">
        <v>0</v>
      </c>
    </row>
    <row r="28" spans="1:142" x14ac:dyDescent="0.3">
      <c r="A28" s="30">
        <f t="shared" si="0"/>
        <v>27</v>
      </c>
      <c r="B28" s="1" t="s">
        <v>191</v>
      </c>
      <c r="C28" s="1" t="s">
        <v>36</v>
      </c>
      <c r="D28" s="149" t="s">
        <v>37</v>
      </c>
      <c r="E28" s="16">
        <v>0</v>
      </c>
      <c r="F28" s="16">
        <v>0</v>
      </c>
      <c r="G28" s="16">
        <v>1</v>
      </c>
      <c r="H28" s="16">
        <v>0</v>
      </c>
      <c r="I28" s="16">
        <v>0</v>
      </c>
      <c r="J28" s="17">
        <v>231</v>
      </c>
      <c r="K28" s="17">
        <v>13173</v>
      </c>
      <c r="L28" s="2">
        <v>55.754995999999998</v>
      </c>
      <c r="M28" s="2">
        <f t="shared" si="1"/>
        <v>55.754995999999998</v>
      </c>
      <c r="N28" s="2">
        <v>37.621848999999997</v>
      </c>
      <c r="O28" s="3">
        <v>11584</v>
      </c>
      <c r="P28" s="3">
        <v>11931.224</v>
      </c>
      <c r="Q28" s="3">
        <v>12168.377</v>
      </c>
      <c r="R28" s="6">
        <v>12410</v>
      </c>
      <c r="S28" s="134">
        <f t="shared" si="2"/>
        <v>9.426257878198653</v>
      </c>
      <c r="T28" s="6">
        <v>145872.26</v>
      </c>
      <c r="U28" s="3">
        <f t="shared" si="3"/>
        <v>145.87226000000001</v>
      </c>
      <c r="V28" s="6">
        <f t="shared" si="4"/>
        <v>4.9827313072255146</v>
      </c>
      <c r="W28" s="4">
        <f t="shared" si="5"/>
        <v>8.507443430299908</v>
      </c>
      <c r="X28" s="4">
        <v>1.139542901667943</v>
      </c>
      <c r="Y28" s="11">
        <v>-0.12</v>
      </c>
      <c r="Z28" s="4">
        <f t="shared" si="6"/>
        <v>-9.4961908472328584</v>
      </c>
      <c r="AA28" s="17">
        <v>357596</v>
      </c>
      <c r="AB28" s="126">
        <f t="shared" si="7"/>
        <v>3575.96</v>
      </c>
      <c r="AC28" s="14">
        <v>3575.96</v>
      </c>
      <c r="AD28" s="2">
        <f t="shared" si="8"/>
        <v>8.1819889505485186</v>
      </c>
      <c r="AE28" s="6">
        <f t="shared" si="9"/>
        <v>3.4703967605901633</v>
      </c>
      <c r="AF28" s="6">
        <f t="shared" si="10"/>
        <v>1.2442689276501351</v>
      </c>
      <c r="AG28" s="5">
        <v>17098242</v>
      </c>
      <c r="AH28" s="7">
        <f t="shared" si="11"/>
        <v>17098.241999999998</v>
      </c>
      <c r="AI28" s="2">
        <f t="shared" si="12"/>
        <v>2.0914196909834357E-2</v>
      </c>
      <c r="AJ28" s="8">
        <f t="shared" si="13"/>
        <v>8.5314186101705669</v>
      </c>
      <c r="AK28" s="134">
        <f t="shared" si="14"/>
        <v>2.1437556560194482</v>
      </c>
      <c r="AL28" s="8">
        <f t="shared" si="15"/>
        <v>406.77839397694032</v>
      </c>
      <c r="AM28" s="20">
        <v>1.6579999999999999</v>
      </c>
      <c r="AN28" s="53">
        <v>270000000000</v>
      </c>
      <c r="AO28" s="20">
        <f t="shared" si="16"/>
        <v>270</v>
      </c>
      <c r="AP28" s="20">
        <f t="shared" si="17"/>
        <v>5.598421958998375</v>
      </c>
      <c r="AQ28" s="72">
        <f t="shared" si="18"/>
        <v>22188.661643208456</v>
      </c>
      <c r="AR28" s="72">
        <f t="shared" si="19"/>
        <v>10.007336700597497</v>
      </c>
      <c r="AS28" s="72">
        <f t="shared" si="20"/>
        <v>16.284680337756331</v>
      </c>
      <c r="AT28" s="73">
        <v>553.29999999999995</v>
      </c>
      <c r="AU28" s="20">
        <f t="shared" ref="AU28:AU37" si="79">IF(AT28&lt;&gt;"",LN(AT28),"")</f>
        <v>6.315900349904064</v>
      </c>
      <c r="AV28" s="73">
        <f t="shared" si="73"/>
        <v>33.371531966224367</v>
      </c>
      <c r="AW28" s="53">
        <v>553318</v>
      </c>
      <c r="AX28" s="53">
        <v>45803</v>
      </c>
      <c r="AY28" s="53">
        <f t="shared" ref="AY28:AY37" si="80">AW28*1000000/(P28*1000)</f>
        <v>46375.627513153719</v>
      </c>
      <c r="AZ28" s="53">
        <f t="shared" si="74"/>
        <v>539014.1858887152</v>
      </c>
      <c r="BA28" s="22">
        <f t="shared" si="75"/>
        <v>13.197497168447795</v>
      </c>
      <c r="BB28" s="53">
        <v>44296.308857682096</v>
      </c>
      <c r="BC28" s="22">
        <f t="shared" si="76"/>
        <v>10.698656631064781</v>
      </c>
      <c r="BD28" s="22">
        <v>-1.5066911423179015</v>
      </c>
      <c r="BE28" s="22">
        <f t="shared" si="77"/>
        <v>-1.5066911423179044</v>
      </c>
      <c r="BF28" s="54">
        <v>-3.2895031817084126</v>
      </c>
      <c r="BG28" s="54">
        <f t="shared" si="78"/>
        <v>-3.2895031817084126</v>
      </c>
      <c r="BH28" s="21">
        <v>25.036000000000001</v>
      </c>
      <c r="BI28" s="20">
        <f t="shared" si="24"/>
        <v>3.2203147890624551</v>
      </c>
      <c r="BJ28" s="22">
        <v>0.439</v>
      </c>
      <c r="BK28" s="22">
        <v>0.82399999999999995</v>
      </c>
      <c r="BL28" s="23">
        <v>72.400000000000006</v>
      </c>
      <c r="BM28" s="24">
        <v>2</v>
      </c>
      <c r="BN28" s="77">
        <v>0.74299999999999999</v>
      </c>
      <c r="BO28" s="77">
        <f t="shared" si="25"/>
        <v>8.0999999999999961E-2</v>
      </c>
      <c r="BP28" s="113">
        <v>1.6</v>
      </c>
      <c r="BQ28" s="77">
        <f t="shared" si="26"/>
        <v>0.47000362924573563</v>
      </c>
      <c r="BS28" s="9">
        <v>57253</v>
      </c>
      <c r="BT28" s="19">
        <v>209.6</v>
      </c>
      <c r="BU28" s="18">
        <v>51954</v>
      </c>
      <c r="BV28" s="60">
        <f t="shared" si="27"/>
        <v>10.858113990675855</v>
      </c>
      <c r="BW28" s="61">
        <f>BU28*1000000/(R28*1000)</f>
        <v>4186.4625302175664</v>
      </c>
      <c r="BX28" s="60">
        <f t="shared" ref="BX28:BX37" si="81">IF(BW28&lt;&gt;"",LN(BW28),"")</f>
        <v>8.339611391459341</v>
      </c>
      <c r="BY28" s="60">
        <f t="shared" si="29"/>
        <v>14.528686003199141</v>
      </c>
      <c r="BZ28" s="60">
        <f t="shared" si="30"/>
        <v>2.6761250401273382</v>
      </c>
      <c r="CA28" s="60">
        <f t="shared" si="31"/>
        <v>19.242222222222221</v>
      </c>
      <c r="CB28" s="60">
        <f t="shared" si="32"/>
        <v>2.9571069386834359</v>
      </c>
      <c r="CC28" s="18">
        <v>263052.06</v>
      </c>
      <c r="CD28" s="18">
        <f t="shared" si="33"/>
        <v>73070.022512267999</v>
      </c>
      <c r="CE28" s="18">
        <f t="shared" si="34"/>
        <v>11.199173472877018</v>
      </c>
      <c r="CF28" s="18">
        <f t="shared" si="35"/>
        <v>15.59806811982638</v>
      </c>
      <c r="CG28" s="18">
        <f t="shared" si="36"/>
        <v>6307.8403411833569</v>
      </c>
      <c r="CH28" s="135">
        <f t="shared" si="37"/>
        <v>8.7495486372336586</v>
      </c>
      <c r="CI28" s="9">
        <v>1686440</v>
      </c>
      <c r="CJ28" s="9">
        <f t="shared" si="38"/>
        <v>468455.593032</v>
      </c>
      <c r="CK28" s="135">
        <f t="shared" si="39"/>
        <v>13.057196590750904</v>
      </c>
      <c r="CL28" s="61">
        <f t="shared" si="40"/>
        <v>40439.881995165742</v>
      </c>
      <c r="CM28" s="135">
        <f t="shared" si="41"/>
        <v>10.607571755107543</v>
      </c>
      <c r="CN28" s="61">
        <f t="shared" si="42"/>
        <v>15.598068119826383</v>
      </c>
      <c r="CO28" s="113">
        <v>6.9</v>
      </c>
      <c r="CP28" s="129">
        <v>14453</v>
      </c>
      <c r="CQ28" s="136">
        <v>99.5</v>
      </c>
      <c r="CR28" s="77">
        <f t="shared" si="43"/>
        <v>1.9315214116032138</v>
      </c>
      <c r="CS28" s="25">
        <v>5.2</v>
      </c>
      <c r="CT28" s="2">
        <f t="shared" si="44"/>
        <v>1.6486586255873816</v>
      </c>
      <c r="CU28" s="7">
        <f t="shared" si="45"/>
        <v>64532</v>
      </c>
      <c r="CV28" s="2">
        <f t="shared" si="46"/>
        <v>11.074916503786035</v>
      </c>
      <c r="CW28" s="14">
        <f t="shared" si="47"/>
        <v>645.32000000000005</v>
      </c>
      <c r="CX28" s="2">
        <f t="shared" si="48"/>
        <v>6.4697463177979433</v>
      </c>
      <c r="CY28" s="2">
        <f t="shared" si="49"/>
        <v>3.7741891827241657E-2</v>
      </c>
      <c r="CZ28" s="13">
        <f t="shared" si="50"/>
        <v>180.46063155068848</v>
      </c>
      <c r="DA28" s="2">
        <f t="shared" si="51"/>
        <v>5.1955126462315624</v>
      </c>
      <c r="DB28" s="64">
        <v>2.23</v>
      </c>
      <c r="DC28" s="64">
        <v>0.79</v>
      </c>
      <c r="DD28" s="64">
        <v>2.36</v>
      </c>
      <c r="DE28" s="64">
        <v>1.1399999999999999</v>
      </c>
      <c r="DF28" s="64">
        <v>1.21</v>
      </c>
      <c r="DG28" s="64">
        <v>1.43</v>
      </c>
      <c r="DH28" s="65">
        <v>-7.0666666666666673</v>
      </c>
      <c r="DI28" s="15">
        <v>23.066666666666666</v>
      </c>
      <c r="DJ28" s="67">
        <v>18.266666666666669</v>
      </c>
      <c r="DK28" s="15">
        <v>2.2666666666666693</v>
      </c>
      <c r="DL28" s="15">
        <f>DI28+DK28</f>
        <v>25.333333333333336</v>
      </c>
      <c r="DM28" s="13">
        <v>7.8</v>
      </c>
      <c r="DR28" s="13">
        <f t="shared" ref="DR28:DR37" si="82">AVERAGE(DM28:DQ28)</f>
        <v>7.8</v>
      </c>
      <c r="DS28" s="16">
        <v>4</v>
      </c>
      <c r="DT28" s="16">
        <v>8</v>
      </c>
      <c r="DV28" s="17">
        <v>590</v>
      </c>
      <c r="DW28" s="17">
        <v>150</v>
      </c>
      <c r="DX28" s="77">
        <f t="shared" si="53"/>
        <v>5.0106352940962555</v>
      </c>
      <c r="DY28" s="17">
        <v>13197596</v>
      </c>
      <c r="DZ28" s="17">
        <f t="shared" si="54"/>
        <v>13197.596</v>
      </c>
      <c r="EA28" s="129">
        <f t="shared" si="55"/>
        <v>9.4877899707762587</v>
      </c>
      <c r="EB28" s="17">
        <v>17900000</v>
      </c>
      <c r="EC28" s="17">
        <f t="shared" si="56"/>
        <v>17900</v>
      </c>
      <c r="ED28" s="126">
        <f t="shared" si="57"/>
        <v>9.7925559918288467</v>
      </c>
      <c r="EE28" s="123">
        <f t="shared" si="58"/>
        <v>0.73729586592178775</v>
      </c>
      <c r="EF28" s="123">
        <f t="shared" si="59"/>
        <v>1.3563076184480871</v>
      </c>
      <c r="EG28" s="77">
        <f t="shared" si="60"/>
        <v>0.30476602105258715</v>
      </c>
      <c r="EH28" s="113">
        <v>40.299999999999997</v>
      </c>
      <c r="EI28" s="77">
        <v>0.78</v>
      </c>
      <c r="EJ28" s="77">
        <v>5.8000000000000003E-2</v>
      </c>
      <c r="EK28" s="77">
        <f t="shared" si="61"/>
        <v>-2.8473122684357177</v>
      </c>
      <c r="EL28" s="16">
        <v>0</v>
      </c>
    </row>
    <row r="29" spans="1:142" x14ac:dyDescent="0.3">
      <c r="A29" s="30">
        <f t="shared" si="0"/>
        <v>28</v>
      </c>
      <c r="B29" s="1" t="s">
        <v>41</v>
      </c>
      <c r="C29" s="1" t="s">
        <v>42</v>
      </c>
      <c r="D29" s="149" t="s">
        <v>37</v>
      </c>
      <c r="E29" s="16">
        <v>0</v>
      </c>
      <c r="F29" s="16">
        <v>0</v>
      </c>
      <c r="G29" s="16">
        <v>1</v>
      </c>
      <c r="H29" s="16">
        <v>0</v>
      </c>
      <c r="I29" s="16">
        <v>0</v>
      </c>
      <c r="K29" s="17">
        <v>2043</v>
      </c>
      <c r="L29" s="2">
        <v>48.853409999999997</v>
      </c>
      <c r="M29" s="2">
        <f t="shared" si="1"/>
        <v>48.853409999999997</v>
      </c>
      <c r="N29" s="2">
        <v>2.3488000000000002</v>
      </c>
      <c r="O29" s="3">
        <v>10514</v>
      </c>
      <c r="P29" s="3">
        <v>10678.259</v>
      </c>
      <c r="Q29" s="3">
        <v>10789.031000000001</v>
      </c>
      <c r="R29" s="6">
        <v>10901</v>
      </c>
      <c r="S29" s="134">
        <f t="shared" si="2"/>
        <v>9.2966098071283589</v>
      </c>
      <c r="T29" s="6">
        <v>65129.731</v>
      </c>
      <c r="U29" s="3">
        <f t="shared" si="3"/>
        <v>65.129731000000007</v>
      </c>
      <c r="V29" s="6">
        <f t="shared" si="4"/>
        <v>4.176381142348645</v>
      </c>
      <c r="W29" s="4">
        <f t="shared" si="5"/>
        <v>16.737363770165118</v>
      </c>
      <c r="X29" s="4">
        <v>0.61647160591304329</v>
      </c>
      <c r="Y29" s="11">
        <v>0.53</v>
      </c>
      <c r="Z29" s="4">
        <f t="shared" si="6"/>
        <v>1.1631539734208363</v>
      </c>
      <c r="AA29" s="17">
        <v>277848</v>
      </c>
      <c r="AB29" s="126">
        <f t="shared" si="7"/>
        <v>2778.48</v>
      </c>
      <c r="AC29" s="14">
        <v>2778.48</v>
      </c>
      <c r="AD29" s="2">
        <f t="shared" si="8"/>
        <v>7.9296592945655826</v>
      </c>
      <c r="AE29" s="6">
        <f t="shared" si="9"/>
        <v>3.9233681725259855</v>
      </c>
      <c r="AF29" s="6">
        <f t="shared" si="10"/>
        <v>1.3669505125627759</v>
      </c>
      <c r="AG29" s="5">
        <v>643801</v>
      </c>
      <c r="AH29" s="7">
        <f t="shared" si="11"/>
        <v>643.80100000000004</v>
      </c>
      <c r="AI29" s="2">
        <f t="shared" si="12"/>
        <v>0.43157435294446578</v>
      </c>
      <c r="AJ29" s="8">
        <f t="shared" si="13"/>
        <v>101.16438309353356</v>
      </c>
      <c r="AK29" s="134">
        <f t="shared" si="14"/>
        <v>4.6167467491898648</v>
      </c>
      <c r="AL29" s="8">
        <f t="shared" si="15"/>
        <v>38.782109400089524</v>
      </c>
      <c r="AM29" s="20">
        <v>2.778</v>
      </c>
      <c r="AN29" s="53">
        <v>681000000000</v>
      </c>
      <c r="AO29" s="20">
        <f t="shared" si="16"/>
        <v>681</v>
      </c>
      <c r="AP29" s="20">
        <f t="shared" si="17"/>
        <v>6.523562306149512</v>
      </c>
      <c r="AQ29" s="72">
        <f t="shared" si="18"/>
        <v>63119.66292431637</v>
      </c>
      <c r="AR29" s="72">
        <f t="shared" si="19"/>
        <v>11.052787615269699</v>
      </c>
      <c r="AS29" s="72">
        <f t="shared" si="20"/>
        <v>24.514038876889849</v>
      </c>
      <c r="AT29" s="73">
        <v>715.1</v>
      </c>
      <c r="AU29" s="20">
        <f t="shared" si="79"/>
        <v>6.5724223930543504</v>
      </c>
      <c r="AV29" s="73">
        <f t="shared" si="73"/>
        <v>25.74154067674586</v>
      </c>
      <c r="AW29" s="53">
        <v>715080</v>
      </c>
      <c r="AX29" s="53">
        <v>57241</v>
      </c>
      <c r="AY29" s="53">
        <f t="shared" si="80"/>
        <v>66965.972636550578</v>
      </c>
      <c r="AZ29" s="53">
        <f t="shared" si="74"/>
        <v>628363.95447100012</v>
      </c>
      <c r="BA29" s="22">
        <f t="shared" si="75"/>
        <v>13.350874822914781</v>
      </c>
      <c r="BB29" s="53">
        <v>58241</v>
      </c>
      <c r="BC29" s="22">
        <f t="shared" si="76"/>
        <v>10.97234485305283</v>
      </c>
      <c r="BD29" s="22">
        <v>1</v>
      </c>
      <c r="BE29" s="22">
        <f t="shared" si="77"/>
        <v>1</v>
      </c>
      <c r="BF29" s="54">
        <v>1.7469995283101274</v>
      </c>
      <c r="BG29" s="54">
        <f t="shared" si="78"/>
        <v>1.7469995283101274</v>
      </c>
      <c r="BH29" s="21">
        <v>40.511000000000003</v>
      </c>
      <c r="BI29" s="20">
        <f t="shared" si="24"/>
        <v>3.7015735421728211</v>
      </c>
      <c r="BJ29" s="22">
        <v>0.29899999999999999</v>
      </c>
      <c r="BK29" s="22">
        <v>0.89100000000000001</v>
      </c>
      <c r="BL29" s="23">
        <v>82.5</v>
      </c>
      <c r="BM29" s="24">
        <v>0</v>
      </c>
      <c r="BN29" s="77">
        <v>0.80900000000000005</v>
      </c>
      <c r="BO29" s="77">
        <f t="shared" si="25"/>
        <v>8.1999999999999962E-2</v>
      </c>
      <c r="BP29" s="113">
        <v>1.3</v>
      </c>
      <c r="BQ29" s="77">
        <f t="shared" si="26"/>
        <v>0.26236426446749106</v>
      </c>
      <c r="BS29" s="9">
        <v>42191</v>
      </c>
      <c r="BT29" s="19">
        <v>155.69999999999999</v>
      </c>
      <c r="BU29" s="18">
        <v>68215</v>
      </c>
      <c r="BV29" s="60">
        <f t="shared" si="27"/>
        <v>11.130419760996974</v>
      </c>
      <c r="BW29" s="61">
        <f>BU29*1000000/(R29*1000)</f>
        <v>6257.6827813962018</v>
      </c>
      <c r="BX29" s="60">
        <f t="shared" si="81"/>
        <v>8.7415652328507534</v>
      </c>
      <c r="BY29" s="60">
        <f t="shared" si="29"/>
        <v>24.551193458293742</v>
      </c>
      <c r="BZ29" s="60">
        <f t="shared" si="30"/>
        <v>3.2007604664313916</v>
      </c>
      <c r="CA29" s="60">
        <f t="shared" si="31"/>
        <v>10.016886930983848</v>
      </c>
      <c r="CB29" s="60">
        <f t="shared" si="32"/>
        <v>2.3042723618534167</v>
      </c>
      <c r="CC29" s="18">
        <v>206304</v>
      </c>
      <c r="CD29" s="18">
        <f t="shared" si="33"/>
        <v>57306.671251200001</v>
      </c>
      <c r="CE29" s="18">
        <f t="shared" si="34"/>
        <v>10.956172322648278</v>
      </c>
      <c r="CF29" s="18">
        <f t="shared" si="35"/>
        <v>27.536719363157303</v>
      </c>
      <c r="CG29" s="18">
        <f t="shared" si="36"/>
        <v>5450.5108665778962</v>
      </c>
      <c r="CH29" s="135">
        <f t="shared" si="37"/>
        <v>8.6034646202510228</v>
      </c>
      <c r="CI29" s="9">
        <v>749196</v>
      </c>
      <c r="CJ29" s="9">
        <f t="shared" si="38"/>
        <v>208110.01664880002</v>
      </c>
      <c r="CK29" s="135">
        <f t="shared" si="39"/>
        <v>12.245822145047454</v>
      </c>
      <c r="CL29" s="61">
        <f t="shared" si="40"/>
        <v>19793.610105459389</v>
      </c>
      <c r="CM29" s="135">
        <f t="shared" si="41"/>
        <v>9.893114442650198</v>
      </c>
      <c r="CN29" s="61">
        <f t="shared" si="42"/>
        <v>27.536719363157303</v>
      </c>
      <c r="CO29" s="113">
        <v>7.7</v>
      </c>
      <c r="CP29" s="129">
        <v>10120</v>
      </c>
      <c r="CQ29" s="136">
        <v>78</v>
      </c>
      <c r="CR29" s="77">
        <f t="shared" si="43"/>
        <v>2.0412203288596382</v>
      </c>
      <c r="CS29" s="25">
        <v>4.4000000000000004</v>
      </c>
      <c r="CT29" s="2">
        <f t="shared" si="44"/>
        <v>1.4816045409242156</v>
      </c>
      <c r="CU29" s="7">
        <f t="shared" si="45"/>
        <v>47964.4</v>
      </c>
      <c r="CV29" s="2">
        <f t="shared" si="46"/>
        <v>10.778214348052574</v>
      </c>
      <c r="CW29" s="14">
        <f t="shared" si="47"/>
        <v>479.64400000000001</v>
      </c>
      <c r="CX29" s="2">
        <f t="shared" si="48"/>
        <v>6.1730441620644827</v>
      </c>
      <c r="CY29" s="2">
        <f t="shared" si="49"/>
        <v>0.74501903538515779</v>
      </c>
      <c r="CZ29" s="13">
        <f t="shared" si="50"/>
        <v>172.62819959114336</v>
      </c>
      <c r="DA29" s="2">
        <f t="shared" si="51"/>
        <v>5.1511401464810369</v>
      </c>
      <c r="DB29" s="64">
        <v>1.45</v>
      </c>
      <c r="DC29" s="64">
        <v>1.01</v>
      </c>
      <c r="DD29" s="64">
        <v>2.2000000000000002</v>
      </c>
      <c r="DE29" s="64">
        <v>1.43</v>
      </c>
      <c r="DF29" s="64">
        <v>0.79</v>
      </c>
      <c r="DG29" s="64">
        <v>0.71</v>
      </c>
      <c r="DH29" s="65">
        <v>4.833333333333333</v>
      </c>
      <c r="DI29" s="15">
        <v>11.166666666666668</v>
      </c>
      <c r="DJ29" s="67">
        <v>20.366666666666664</v>
      </c>
      <c r="DK29" s="15">
        <v>4.3666666666666636</v>
      </c>
      <c r="DL29" s="15">
        <f>DI29+DK29</f>
        <v>15.533333333333331</v>
      </c>
      <c r="DM29" s="13">
        <v>8</v>
      </c>
      <c r="DN29" s="12">
        <v>4.5</v>
      </c>
      <c r="DR29" s="13">
        <f t="shared" si="82"/>
        <v>6.25</v>
      </c>
      <c r="DS29" s="16">
        <v>12.4</v>
      </c>
      <c r="DT29" s="16">
        <v>16</v>
      </c>
      <c r="DU29" s="16">
        <v>8.8000000000000007</v>
      </c>
      <c r="DV29" s="17">
        <v>637.4</v>
      </c>
      <c r="DW29" s="17">
        <v>45</v>
      </c>
      <c r="DX29" s="77">
        <f t="shared" si="53"/>
        <v>3.8066624897703196</v>
      </c>
      <c r="DY29" s="17">
        <v>2230000</v>
      </c>
      <c r="DZ29" s="17">
        <f t="shared" si="54"/>
        <v>2230</v>
      </c>
      <c r="EA29" s="129">
        <f t="shared" si="55"/>
        <v>7.7097568644541647</v>
      </c>
      <c r="EB29" s="17">
        <v>12405000</v>
      </c>
      <c r="EC29" s="17">
        <f t="shared" si="56"/>
        <v>12405</v>
      </c>
      <c r="ED29" s="126">
        <f t="shared" si="57"/>
        <v>9.4258548961259017</v>
      </c>
      <c r="EE29" s="123">
        <f t="shared" si="58"/>
        <v>0.17976622329705763</v>
      </c>
      <c r="EF29" s="123">
        <f t="shared" si="59"/>
        <v>5.5627802690582957</v>
      </c>
      <c r="EG29" s="77">
        <f t="shared" si="60"/>
        <v>1.7160980316717369</v>
      </c>
      <c r="EH29" s="113">
        <v>41.7</v>
      </c>
      <c r="EI29" s="77">
        <v>0.81599999999999995</v>
      </c>
      <c r="EJ29" s="77">
        <v>0.21199999999999999</v>
      </c>
      <c r="EK29" s="77">
        <f t="shared" si="61"/>
        <v>-1.5511690043101247</v>
      </c>
      <c r="EL29" s="16">
        <v>0</v>
      </c>
    </row>
    <row r="30" spans="1:142" x14ac:dyDescent="0.3">
      <c r="A30" s="30">
        <f t="shared" si="0"/>
        <v>29</v>
      </c>
      <c r="B30" s="1" t="s">
        <v>30</v>
      </c>
      <c r="C30" s="1" t="s">
        <v>126</v>
      </c>
      <c r="D30" s="149" t="s">
        <v>31</v>
      </c>
      <c r="E30" s="16">
        <v>0</v>
      </c>
      <c r="F30" s="16">
        <v>0</v>
      </c>
      <c r="G30" s="16">
        <v>0</v>
      </c>
      <c r="H30" s="16">
        <v>1</v>
      </c>
      <c r="I30" s="16">
        <v>0</v>
      </c>
      <c r="J30" s="17">
        <v>112</v>
      </c>
      <c r="K30" s="17">
        <v>2195</v>
      </c>
      <c r="L30" s="2">
        <v>34.031655999999998</v>
      </c>
      <c r="M30" s="2">
        <f t="shared" si="1"/>
        <v>34.031655999999998</v>
      </c>
      <c r="N30" s="2">
        <v>-118.241716</v>
      </c>
      <c r="O30" s="3">
        <v>12197</v>
      </c>
      <c r="P30" s="3">
        <v>12307.982</v>
      </c>
      <c r="Q30" s="3">
        <v>12382.620999999999</v>
      </c>
      <c r="R30" s="6">
        <v>12458</v>
      </c>
      <c r="S30" s="134">
        <f t="shared" si="2"/>
        <v>9.430118265814091</v>
      </c>
      <c r="T30" s="6">
        <v>329064.91700000002</v>
      </c>
      <c r="U30" s="3">
        <f t="shared" si="3"/>
        <v>329.06491700000004</v>
      </c>
      <c r="V30" s="6">
        <f t="shared" si="4"/>
        <v>5.796255047410531</v>
      </c>
      <c r="W30" s="4">
        <f t="shared" si="5"/>
        <v>3.7858791248779644</v>
      </c>
      <c r="X30" s="4">
        <v>0.30209167398499942</v>
      </c>
      <c r="Y30" s="11">
        <v>0.84</v>
      </c>
      <c r="Z30" s="4">
        <f t="shared" si="6"/>
        <v>0.35963294522023742</v>
      </c>
      <c r="AA30" s="17">
        <v>585902</v>
      </c>
      <c r="AB30" s="126">
        <f t="shared" si="7"/>
        <v>5859.02</v>
      </c>
      <c r="AC30" s="14">
        <v>5859.02</v>
      </c>
      <c r="AD30" s="2">
        <f t="shared" si="8"/>
        <v>8.6757376330907636</v>
      </c>
      <c r="AE30" s="6">
        <f t="shared" si="9"/>
        <v>2.126294158408744</v>
      </c>
      <c r="AF30" s="6">
        <f t="shared" si="10"/>
        <v>0.75438063272332767</v>
      </c>
      <c r="AG30" s="5">
        <v>9833517</v>
      </c>
      <c r="AH30" s="7">
        <f t="shared" si="11"/>
        <v>9833.5169999999998</v>
      </c>
      <c r="AI30" s="2">
        <f t="shared" si="12"/>
        <v>5.9582141364071473E-2</v>
      </c>
      <c r="AJ30" s="8">
        <f t="shared" si="13"/>
        <v>33.463603815399928</v>
      </c>
      <c r="AK30" s="134">
        <f t="shared" si="14"/>
        <v>3.5104583949411965</v>
      </c>
      <c r="AL30" s="8">
        <f t="shared" si="15"/>
        <v>63.540501200597667</v>
      </c>
      <c r="AM30" s="20">
        <v>20.54</v>
      </c>
      <c r="AN30" s="53">
        <v>941060000000</v>
      </c>
      <c r="AO30" s="20">
        <f t="shared" si="16"/>
        <v>941.06</v>
      </c>
      <c r="AP30" s="20">
        <f t="shared" si="17"/>
        <v>6.8470068995080391</v>
      </c>
      <c r="AQ30" s="72">
        <f t="shared" si="18"/>
        <v>75998.449762776392</v>
      </c>
      <c r="AR30" s="72">
        <f t="shared" si="19"/>
        <v>11.238468221202224</v>
      </c>
      <c r="AS30" s="72">
        <f t="shared" si="20"/>
        <v>4.5815968841285297</v>
      </c>
      <c r="AT30" s="73">
        <v>860.5</v>
      </c>
      <c r="AU30" s="20">
        <f t="shared" si="79"/>
        <v>6.757513615651594</v>
      </c>
      <c r="AV30" s="73">
        <f t="shared" si="73"/>
        <v>4.1893865628042839</v>
      </c>
      <c r="AW30" s="53">
        <v>860452</v>
      </c>
      <c r="AX30" s="53">
        <v>65082</v>
      </c>
      <c r="AY30" s="53">
        <f t="shared" si="80"/>
        <v>69910.079491503973</v>
      </c>
      <c r="AZ30" s="53">
        <f t="shared" si="74"/>
        <v>855725.80843879899</v>
      </c>
      <c r="BA30" s="22">
        <f t="shared" si="75"/>
        <v>13.659705286566959</v>
      </c>
      <c r="BB30" s="53">
        <v>69107.001533746297</v>
      </c>
      <c r="BC30" s="22">
        <f t="shared" si="76"/>
        <v>11.143411329279006</v>
      </c>
      <c r="BD30" s="22">
        <v>4.0250015337462912</v>
      </c>
      <c r="BE30" s="22">
        <f t="shared" si="77"/>
        <v>4.0250015337462974</v>
      </c>
      <c r="BF30" s="54">
        <v>6.1845080571376068</v>
      </c>
      <c r="BG30" s="54">
        <f t="shared" si="78"/>
        <v>6.1845080571376068</v>
      </c>
      <c r="BH30" s="21">
        <v>56.14</v>
      </c>
      <c r="BI30" s="20">
        <f t="shared" si="24"/>
        <v>4.0278485709337364</v>
      </c>
      <c r="BJ30" s="22">
        <v>0.37799999999999995</v>
      </c>
      <c r="BK30" s="22">
        <v>0.92</v>
      </c>
      <c r="BL30" s="23">
        <v>78.900000000000006</v>
      </c>
      <c r="BM30" s="24">
        <v>-4</v>
      </c>
      <c r="BN30" s="77">
        <v>0.79700000000000004</v>
      </c>
      <c r="BO30" s="77">
        <f t="shared" si="25"/>
        <v>0.123</v>
      </c>
      <c r="BP30" s="113">
        <v>2</v>
      </c>
      <c r="BQ30" s="77">
        <f t="shared" si="26"/>
        <v>0.69314718055994529</v>
      </c>
      <c r="BR30" s="113">
        <v>4.2</v>
      </c>
      <c r="BS30" s="9">
        <v>81188</v>
      </c>
      <c r="BT30" s="19">
        <v>294.8</v>
      </c>
      <c r="BU30" s="18">
        <v>153233</v>
      </c>
      <c r="BV30" s="60">
        <f t="shared" si="27"/>
        <v>11.939714917792106</v>
      </c>
      <c r="BW30" s="61">
        <f>BU30*1000000/(R30*1000)</f>
        <v>12299.967892117515</v>
      </c>
      <c r="BX30" s="60">
        <f t="shared" si="81"/>
        <v>9.4173519309601517</v>
      </c>
      <c r="BY30" s="60">
        <f t="shared" si="29"/>
        <v>26.153349877624585</v>
      </c>
      <c r="BZ30" s="60">
        <f t="shared" si="30"/>
        <v>3.2639772847013422</v>
      </c>
      <c r="CA30" s="60">
        <f t="shared" si="31"/>
        <v>16.283021273882643</v>
      </c>
      <c r="CB30" s="60">
        <f t="shared" si="32"/>
        <v>2.7901229252900208</v>
      </c>
      <c r="CC30" s="18">
        <v>289995.46999999997</v>
      </c>
      <c r="CD30" s="18">
        <f t="shared" si="33"/>
        <v>80554.303666566004</v>
      </c>
      <c r="CE30" s="18">
        <f t="shared" si="34"/>
        <v>11.296686815688929</v>
      </c>
      <c r="CF30" s="18">
        <f t="shared" si="35"/>
        <v>28.188151071409472</v>
      </c>
      <c r="CG30" s="18">
        <f t="shared" si="36"/>
        <v>6604.4358175425114</v>
      </c>
      <c r="CH30" s="135">
        <f t="shared" si="37"/>
        <v>8.7954967958278285</v>
      </c>
      <c r="CI30" s="9">
        <v>1028785</v>
      </c>
      <c r="CJ30" s="9">
        <f t="shared" si="38"/>
        <v>285773.63397300005</v>
      </c>
      <c r="CK30" s="135">
        <f t="shared" si="39"/>
        <v>12.562955286803822</v>
      </c>
      <c r="CL30" s="61">
        <f t="shared" si="40"/>
        <v>23429.829791998036</v>
      </c>
      <c r="CM30" s="135">
        <f t="shared" si="41"/>
        <v>10.06176526694272</v>
      </c>
      <c r="CN30" s="61">
        <f t="shared" si="42"/>
        <v>28.188151071409479</v>
      </c>
      <c r="CO30" s="113">
        <v>14.6</v>
      </c>
      <c r="CP30" s="129">
        <v>13482</v>
      </c>
      <c r="CQ30" s="136">
        <v>196.4</v>
      </c>
      <c r="CR30" s="77">
        <f t="shared" si="43"/>
        <v>2.6810215287142909</v>
      </c>
      <c r="CS30" s="25">
        <v>8.1</v>
      </c>
      <c r="CT30" s="2">
        <f t="shared" si="44"/>
        <v>2.0918640616783932</v>
      </c>
      <c r="CU30" s="7">
        <f t="shared" si="45"/>
        <v>100909.79999999999</v>
      </c>
      <c r="CV30" s="2">
        <f t="shared" si="46"/>
        <v>11.521982327492484</v>
      </c>
      <c r="CW30" s="14">
        <f t="shared" si="47"/>
        <v>1009.0979999999998</v>
      </c>
      <c r="CX30" s="2">
        <f t="shared" si="48"/>
        <v>6.9168121415043924</v>
      </c>
      <c r="CY30" s="2">
        <f t="shared" si="49"/>
        <v>0.10261821889360642</v>
      </c>
      <c r="CZ30" s="13">
        <f t="shared" si="50"/>
        <v>172.22982683110826</v>
      </c>
      <c r="DA30" s="2">
        <f t="shared" si="51"/>
        <v>5.1488297873957665</v>
      </c>
      <c r="DB30" s="64">
        <v>2.16</v>
      </c>
      <c r="DC30" s="64">
        <v>0.72</v>
      </c>
      <c r="DD30" s="64">
        <v>2.71</v>
      </c>
      <c r="DE30" s="64">
        <v>1.35</v>
      </c>
      <c r="DF30" s="64">
        <v>1.42</v>
      </c>
      <c r="DG30" s="64">
        <v>-0.02</v>
      </c>
      <c r="DH30" s="65">
        <v>11.5</v>
      </c>
      <c r="DI30" s="15">
        <v>4.5</v>
      </c>
      <c r="DJ30" s="67">
        <v>24.899999999999995</v>
      </c>
      <c r="DK30" s="15">
        <v>8.899999999999995</v>
      </c>
      <c r="DL30" s="15">
        <f>DI30+DK30</f>
        <v>13.399999999999995</v>
      </c>
      <c r="DM30" s="13">
        <v>7.1</v>
      </c>
      <c r="DR30" s="13">
        <f t="shared" si="82"/>
        <v>7.1</v>
      </c>
      <c r="DS30" s="16">
        <v>18.3</v>
      </c>
      <c r="DT30" s="16">
        <v>23.3</v>
      </c>
      <c r="DU30" s="16">
        <v>13.2</v>
      </c>
      <c r="DV30" s="17">
        <v>377</v>
      </c>
      <c r="DW30" s="17">
        <v>106</v>
      </c>
      <c r="DX30" s="77">
        <f t="shared" si="53"/>
        <v>4.6634390941120669</v>
      </c>
      <c r="DY30" s="17">
        <v>3976000</v>
      </c>
      <c r="DZ30" s="17">
        <f t="shared" si="54"/>
        <v>3976</v>
      </c>
      <c r="EA30" s="129">
        <f t="shared" si="55"/>
        <v>8.2880315677764642</v>
      </c>
      <c r="EB30" s="17">
        <v>13131000</v>
      </c>
      <c r="EC30" s="17">
        <f t="shared" si="56"/>
        <v>13131</v>
      </c>
      <c r="ED30" s="126">
        <f t="shared" si="57"/>
        <v>9.4827311258590044</v>
      </c>
      <c r="EE30" s="123">
        <f t="shared" si="58"/>
        <v>0.30279491280176679</v>
      </c>
      <c r="EF30" s="123">
        <f t="shared" si="59"/>
        <v>3.3025653923541247</v>
      </c>
      <c r="EG30" s="77">
        <f t="shared" si="60"/>
        <v>1.1946995580825404</v>
      </c>
      <c r="EH30" s="113">
        <v>38.5</v>
      </c>
      <c r="EI30" s="77">
        <v>0.89</v>
      </c>
      <c r="EJ30" s="77">
        <v>0.26100000000000001</v>
      </c>
      <c r="EK30" s="77">
        <f t="shared" si="61"/>
        <v>-1.3432348716594436</v>
      </c>
      <c r="EL30" s="16">
        <v>0</v>
      </c>
    </row>
    <row r="31" spans="1:142" x14ac:dyDescent="0.3">
      <c r="A31" s="30">
        <f t="shared" si="0"/>
        <v>30</v>
      </c>
      <c r="B31" s="1" t="s">
        <v>38</v>
      </c>
      <c r="C31" s="1" t="s">
        <v>126</v>
      </c>
      <c r="D31" s="149" t="s">
        <v>31</v>
      </c>
      <c r="E31" s="16">
        <v>0</v>
      </c>
      <c r="F31" s="16">
        <v>0</v>
      </c>
      <c r="G31" s="16">
        <v>0</v>
      </c>
      <c r="H31" s="16">
        <v>1</v>
      </c>
      <c r="I31" s="16">
        <v>0</v>
      </c>
      <c r="J31" s="17">
        <v>1572</v>
      </c>
      <c r="K31" s="17">
        <v>727410</v>
      </c>
      <c r="L31" s="2">
        <v>40.717041999999999</v>
      </c>
      <c r="M31" s="2">
        <f t="shared" si="1"/>
        <v>40.717041999999999</v>
      </c>
      <c r="N31" s="2">
        <v>-74.003663000000003</v>
      </c>
      <c r="O31" s="3">
        <v>18421</v>
      </c>
      <c r="P31" s="3">
        <v>18590.808000000001</v>
      </c>
      <c r="Q31" s="3">
        <v>18704.696</v>
      </c>
      <c r="R31" s="6">
        <v>18819</v>
      </c>
      <c r="S31" s="134">
        <f t="shared" si="2"/>
        <v>9.8426222767648532</v>
      </c>
      <c r="T31" s="6">
        <v>329064.91700000002</v>
      </c>
      <c r="U31" s="3">
        <f t="shared" si="3"/>
        <v>329.06491700000004</v>
      </c>
      <c r="V31" s="6">
        <f t="shared" si="4"/>
        <v>5.796255047410531</v>
      </c>
      <c r="W31" s="4">
        <f t="shared" si="5"/>
        <v>5.7189323527916534</v>
      </c>
      <c r="X31" s="4">
        <v>0.3051577746399371</v>
      </c>
      <c r="Y31" s="11">
        <v>0.84</v>
      </c>
      <c r="Z31" s="4">
        <f t="shared" si="6"/>
        <v>0.36328306504754415</v>
      </c>
      <c r="AA31" s="17">
        <v>951103</v>
      </c>
      <c r="AB31" s="126">
        <f t="shared" si="7"/>
        <v>9511.0300000000007</v>
      </c>
      <c r="AC31" s="14">
        <v>9511.0300000000007</v>
      </c>
      <c r="AD31" s="2">
        <f t="shared" si="8"/>
        <v>9.160207456719867</v>
      </c>
      <c r="AE31" s="6">
        <f t="shared" si="9"/>
        <v>1.9786500515717014</v>
      </c>
      <c r="AF31" s="6">
        <f t="shared" si="10"/>
        <v>0.68241482004498588</v>
      </c>
      <c r="AG31" s="5">
        <v>9833517</v>
      </c>
      <c r="AH31" s="7">
        <f t="shared" si="11"/>
        <v>9833.5169999999998</v>
      </c>
      <c r="AI31" s="2">
        <f t="shared" si="12"/>
        <v>9.6720532440224605E-2</v>
      </c>
      <c r="AJ31" s="8">
        <f t="shared" si="13"/>
        <v>33.463603815399928</v>
      </c>
      <c r="AK31" s="134">
        <f t="shared" si="14"/>
        <v>3.5104583949411965</v>
      </c>
      <c r="AL31" s="8">
        <f t="shared" si="15"/>
        <v>59.128420910276496</v>
      </c>
      <c r="AM31" s="20">
        <v>20.54</v>
      </c>
      <c r="AN31" s="53">
        <v>1751000000000</v>
      </c>
      <c r="AO31" s="20">
        <f t="shared" si="16"/>
        <v>1751</v>
      </c>
      <c r="AP31" s="20">
        <f t="shared" si="17"/>
        <v>7.467942332285852</v>
      </c>
      <c r="AQ31" s="72">
        <f t="shared" si="18"/>
        <v>93612.855295803791</v>
      </c>
      <c r="AR31" s="72">
        <f t="shared" si="19"/>
        <v>11.446922995938897</v>
      </c>
      <c r="AS31" s="72">
        <f t="shared" si="20"/>
        <v>8.5248296007789666</v>
      </c>
      <c r="AT31" s="73">
        <v>1403</v>
      </c>
      <c r="AU31" s="20">
        <f t="shared" si="79"/>
        <v>7.246368080102461</v>
      </c>
      <c r="AV31" s="73">
        <f t="shared" si="73"/>
        <v>6.8305744888023368</v>
      </c>
      <c r="AW31" s="53">
        <v>1403463</v>
      </c>
      <c r="AX31" s="53">
        <v>69915</v>
      </c>
      <c r="AY31" s="53">
        <f t="shared" si="80"/>
        <v>75492.307811473278</v>
      </c>
      <c r="AZ31" s="53">
        <f t="shared" si="74"/>
        <v>1333863.8450341483</v>
      </c>
      <c r="BA31" s="22">
        <f t="shared" si="75"/>
        <v>14.103590435056907</v>
      </c>
      <c r="BB31" s="53">
        <v>71311.7093714941</v>
      </c>
      <c r="BC31" s="22">
        <f t="shared" si="76"/>
        <v>11.174815819727815</v>
      </c>
      <c r="BD31" s="22">
        <v>1.3967093714940972</v>
      </c>
      <c r="BE31" s="22">
        <f t="shared" si="77"/>
        <v>1.3967093714941001</v>
      </c>
      <c r="BF31" s="54">
        <v>1.997724910954874</v>
      </c>
      <c r="BG31" s="54">
        <f t="shared" si="78"/>
        <v>1.997724910954874</v>
      </c>
      <c r="BH31" s="21">
        <v>56.14</v>
      </c>
      <c r="BI31" s="20">
        <f t="shared" si="24"/>
        <v>4.0278485709337364</v>
      </c>
      <c r="BJ31" s="22">
        <v>0.37799999999999995</v>
      </c>
      <c r="BK31" s="22">
        <v>0.92</v>
      </c>
      <c r="BL31" s="23">
        <v>78.900000000000006</v>
      </c>
      <c r="BM31" s="24">
        <v>-4</v>
      </c>
      <c r="BN31" s="77">
        <v>0.79700000000000004</v>
      </c>
      <c r="BO31" s="77">
        <f t="shared" si="25"/>
        <v>0.123</v>
      </c>
      <c r="BP31" s="113">
        <v>2</v>
      </c>
      <c r="BQ31" s="77">
        <f t="shared" si="26"/>
        <v>0.69314718055994529</v>
      </c>
      <c r="BR31" s="113">
        <v>4.2</v>
      </c>
      <c r="BS31" s="9">
        <v>81188</v>
      </c>
      <c r="BT31" s="19">
        <v>294.8</v>
      </c>
      <c r="BU31" s="18">
        <v>148681</v>
      </c>
      <c r="BV31" s="60">
        <f t="shared" si="27"/>
        <v>11.909558350242753</v>
      </c>
      <c r="BW31" s="61">
        <f>BU31*1000000/(R31*1000)</f>
        <v>7900.5792018704497</v>
      </c>
      <c r="BX31" s="60">
        <f t="shared" si="81"/>
        <v>8.974691352460038</v>
      </c>
      <c r="BY31" s="60">
        <f t="shared" si="29"/>
        <v>15.632481445227278</v>
      </c>
      <c r="BZ31" s="60">
        <f t="shared" si="30"/>
        <v>2.7493508935228865</v>
      </c>
      <c r="CA31" s="60">
        <f t="shared" si="31"/>
        <v>8.4912050256995997</v>
      </c>
      <c r="CB31" s="60">
        <f t="shared" si="32"/>
        <v>2.1390309249628561</v>
      </c>
      <c r="CC31" s="18">
        <v>1042794.37</v>
      </c>
      <c r="CD31" s="18">
        <f t="shared" si="33"/>
        <v>289665.125950986</v>
      </c>
      <c r="CE31" s="18">
        <f t="shared" si="34"/>
        <v>12.576480796638874</v>
      </c>
      <c r="CF31" s="18">
        <f t="shared" si="35"/>
        <v>36.901397221551832</v>
      </c>
      <c r="CG31" s="18">
        <f t="shared" si="36"/>
        <v>15724.723193691223</v>
      </c>
      <c r="CH31" s="135">
        <f t="shared" si="37"/>
        <v>9.6629894784687931</v>
      </c>
      <c r="CI31" s="9">
        <v>2825894</v>
      </c>
      <c r="CJ31" s="9">
        <f t="shared" si="38"/>
        <v>784970.61835320003</v>
      </c>
      <c r="CK31" s="135">
        <f t="shared" si="39"/>
        <v>13.573401567214642</v>
      </c>
      <c r="CL31" s="61">
        <f t="shared" si="40"/>
        <v>42612.812461495036</v>
      </c>
      <c r="CM31" s="135">
        <f t="shared" si="41"/>
        <v>10.659910249044561</v>
      </c>
      <c r="CN31" s="61">
        <f t="shared" si="42"/>
        <v>36.901397221551832</v>
      </c>
      <c r="CO31" s="113">
        <v>17.100000000000001</v>
      </c>
      <c r="CP31" s="129">
        <v>13648</v>
      </c>
      <c r="CQ31" s="136">
        <v>233.5</v>
      </c>
      <c r="CR31" s="77">
        <f t="shared" si="43"/>
        <v>2.8390784635086144</v>
      </c>
      <c r="CS31" s="25">
        <v>8.1</v>
      </c>
      <c r="CT31" s="2">
        <f t="shared" si="44"/>
        <v>2.0918640616783932</v>
      </c>
      <c r="CU31" s="7">
        <f t="shared" si="45"/>
        <v>152433.9</v>
      </c>
      <c r="CV31" s="2">
        <f t="shared" si="46"/>
        <v>11.934486338443246</v>
      </c>
      <c r="CW31" s="14">
        <f t="shared" si="47"/>
        <v>1524.3389999999999</v>
      </c>
      <c r="CX31" s="2">
        <f t="shared" si="48"/>
        <v>7.3293161524551547</v>
      </c>
      <c r="CY31" s="2">
        <f t="shared" si="49"/>
        <v>0.15501463006572319</v>
      </c>
      <c r="CZ31" s="13">
        <f t="shared" si="50"/>
        <v>160.27065417730782</v>
      </c>
      <c r="DA31" s="2">
        <f t="shared" si="51"/>
        <v>5.0768639747174245</v>
      </c>
      <c r="DB31" s="64">
        <v>1.91</v>
      </c>
      <c r="DC31" s="64">
        <v>0.01</v>
      </c>
      <c r="DD31" s="64">
        <v>2.92</v>
      </c>
      <c r="DE31" s="64">
        <v>0.67</v>
      </c>
      <c r="DF31" s="64">
        <v>0.93</v>
      </c>
      <c r="DG31" s="64">
        <v>-0.09</v>
      </c>
      <c r="DH31" s="65">
        <v>0.10000000000000009</v>
      </c>
      <c r="DI31" s="15">
        <v>15.9</v>
      </c>
      <c r="DJ31" s="67">
        <v>22.833333333333332</v>
      </c>
      <c r="DK31" s="15">
        <v>6.8333333333333321</v>
      </c>
      <c r="DL31" s="15">
        <f>DI31+DK31</f>
        <v>22.733333333333334</v>
      </c>
      <c r="DM31" s="25">
        <v>2.2000000000000002</v>
      </c>
      <c r="DN31" s="12">
        <v>5</v>
      </c>
      <c r="DO31" s="12">
        <v>5</v>
      </c>
      <c r="DR31" s="13">
        <f t="shared" si="82"/>
        <v>4.0666666666666664</v>
      </c>
      <c r="DS31" s="16">
        <v>13.1</v>
      </c>
      <c r="DT31" s="16">
        <v>17.2</v>
      </c>
      <c r="DU31" s="16">
        <v>9</v>
      </c>
      <c r="DV31" s="17">
        <v>1135.4000000000001</v>
      </c>
      <c r="DW31" s="17">
        <v>20</v>
      </c>
      <c r="DX31" s="77">
        <f t="shared" si="53"/>
        <v>2.9957322735539909</v>
      </c>
      <c r="DY31" s="17">
        <v>8550000</v>
      </c>
      <c r="DZ31" s="17">
        <f t="shared" si="54"/>
        <v>8550</v>
      </c>
      <c r="EA31" s="129">
        <f t="shared" si="55"/>
        <v>9.0536865619308067</v>
      </c>
      <c r="EB31" s="17">
        <v>23724000</v>
      </c>
      <c r="EC31" s="17">
        <f t="shared" si="56"/>
        <v>23724</v>
      </c>
      <c r="ED31" s="126">
        <f t="shared" si="57"/>
        <v>10.074242472958618</v>
      </c>
      <c r="EE31" s="123">
        <f t="shared" si="58"/>
        <v>0.36039453717754172</v>
      </c>
      <c r="EF31" s="123">
        <f t="shared" si="59"/>
        <v>2.7747368421052632</v>
      </c>
      <c r="EG31" s="77">
        <f t="shared" si="60"/>
        <v>1.0205559110278113</v>
      </c>
      <c r="EH31" s="113">
        <v>38.5</v>
      </c>
      <c r="EI31" s="77">
        <v>0.89</v>
      </c>
      <c r="EJ31" s="77">
        <v>0.26100000000000001</v>
      </c>
      <c r="EK31" s="77">
        <f t="shared" si="61"/>
        <v>-1.3432348716594436</v>
      </c>
      <c r="EL31" s="16">
        <v>0</v>
      </c>
    </row>
    <row r="32" spans="1:142" x14ac:dyDescent="0.3">
      <c r="A32" s="30">
        <f t="shared" si="0"/>
        <v>31</v>
      </c>
      <c r="B32" s="1" t="s">
        <v>49</v>
      </c>
      <c r="C32" s="1" t="s">
        <v>6</v>
      </c>
      <c r="D32" s="149" t="s">
        <v>7</v>
      </c>
      <c r="E32" s="16">
        <v>0</v>
      </c>
      <c r="F32" s="16">
        <v>0</v>
      </c>
      <c r="G32" s="16">
        <v>0</v>
      </c>
      <c r="H32" s="16">
        <v>0</v>
      </c>
      <c r="I32" s="16">
        <v>1</v>
      </c>
      <c r="J32" s="17">
        <v>17</v>
      </c>
      <c r="K32" s="17">
        <v>1308</v>
      </c>
      <c r="L32" s="2">
        <v>4.6097099999999998</v>
      </c>
      <c r="M32" s="2">
        <f t="shared" si="1"/>
        <v>4.6097099999999998</v>
      </c>
      <c r="N32" s="2">
        <v>-74.08175</v>
      </c>
      <c r="O32" s="3">
        <v>8661</v>
      </c>
      <c r="P32" s="3">
        <v>9434.8169999999991</v>
      </c>
      <c r="Q32" s="3">
        <v>9988.9629999999997</v>
      </c>
      <c r="R32" s="6">
        <v>10574</v>
      </c>
      <c r="S32" s="134">
        <f t="shared" si="2"/>
        <v>9.2661534367953955</v>
      </c>
      <c r="T32" s="6">
        <v>50339.442999999999</v>
      </c>
      <c r="U32" s="3">
        <f t="shared" si="3"/>
        <v>50.339443000000003</v>
      </c>
      <c r="V32" s="6">
        <f t="shared" si="4"/>
        <v>3.9187889248863206</v>
      </c>
      <c r="W32" s="4">
        <f t="shared" si="5"/>
        <v>21.005397298496131</v>
      </c>
      <c r="X32" s="4">
        <v>2.8517375566724121</v>
      </c>
      <c r="Y32" s="11">
        <v>1.08</v>
      </c>
      <c r="Z32" s="4">
        <f t="shared" si="6"/>
        <v>2.6404977376596408</v>
      </c>
      <c r="AA32" s="17">
        <v>39723</v>
      </c>
      <c r="AB32" s="126">
        <f t="shared" si="7"/>
        <v>397.23</v>
      </c>
      <c r="AC32" s="14">
        <v>397.23</v>
      </c>
      <c r="AD32" s="2">
        <f t="shared" si="8"/>
        <v>5.984515458019775</v>
      </c>
      <c r="AE32" s="6">
        <f t="shared" si="9"/>
        <v>26.619338922035091</v>
      </c>
      <c r="AF32" s="6">
        <f t="shared" si="10"/>
        <v>3.2816379787756205</v>
      </c>
      <c r="AG32" s="5">
        <v>1138910</v>
      </c>
      <c r="AH32" s="7">
        <f t="shared" si="11"/>
        <v>1138.9100000000001</v>
      </c>
      <c r="AI32" s="2">
        <f t="shared" si="12"/>
        <v>3.4878085186713613E-2</v>
      </c>
      <c r="AJ32" s="8">
        <f t="shared" si="13"/>
        <v>44.199667225680692</v>
      </c>
      <c r="AK32" s="134">
        <f t="shared" si="14"/>
        <v>3.7887172602245571</v>
      </c>
      <c r="AL32" s="8">
        <f t="shared" si="15"/>
        <v>602.25202117740923</v>
      </c>
      <c r="AM32" s="20">
        <v>0.33100000000000002</v>
      </c>
      <c r="AN32" s="53">
        <v>160000000000</v>
      </c>
      <c r="AO32" s="20">
        <f t="shared" si="16"/>
        <v>160</v>
      </c>
      <c r="AP32" s="20">
        <f t="shared" si="17"/>
        <v>5.0751738152338266</v>
      </c>
      <c r="AQ32" s="72">
        <f t="shared" si="18"/>
        <v>16017.678711994427</v>
      </c>
      <c r="AR32" s="72">
        <f t="shared" si="19"/>
        <v>9.6814483107472924</v>
      </c>
      <c r="AS32" s="72">
        <f t="shared" si="20"/>
        <v>48.338368580060425</v>
      </c>
      <c r="AT32" s="73">
        <v>159.9</v>
      </c>
      <c r="AU32" s="20">
        <f t="shared" si="79"/>
        <v>5.0745486198399083</v>
      </c>
      <c r="AV32" s="73">
        <f t="shared" si="73"/>
        <v>48.308157099697887</v>
      </c>
      <c r="AW32" s="53">
        <v>159850</v>
      </c>
      <c r="AX32" s="53">
        <v>17497</v>
      </c>
      <c r="AY32" s="53">
        <f t="shared" si="80"/>
        <v>16942.564969728614</v>
      </c>
      <c r="AZ32" s="53">
        <f t="shared" si="74"/>
        <v>180115.25814251974</v>
      </c>
      <c r="BA32" s="22">
        <f t="shared" si="75"/>
        <v>12.101352247967037</v>
      </c>
      <c r="BB32" s="53">
        <v>18031.427100342622</v>
      </c>
      <c r="BC32" s="22">
        <f t="shared" si="76"/>
        <v>9.7998714644983664</v>
      </c>
      <c r="BD32" s="22">
        <v>0.53442710034262042</v>
      </c>
      <c r="BE32" s="22">
        <f t="shared" si="77"/>
        <v>0.53442710034262197</v>
      </c>
      <c r="BF32" s="54">
        <v>3.0543927550015546</v>
      </c>
      <c r="BG32" s="54">
        <f t="shared" si="78"/>
        <v>3.0543927550015546</v>
      </c>
      <c r="BH32" s="21">
        <v>12.896000000000001</v>
      </c>
      <c r="BI32" s="20">
        <f t="shared" si="24"/>
        <v>2.5569171857642727</v>
      </c>
      <c r="BJ32" s="22">
        <v>0.48899999999999999</v>
      </c>
      <c r="BK32" s="22">
        <v>0.76100000000000001</v>
      </c>
      <c r="BL32" s="23">
        <v>77.099999999999994</v>
      </c>
      <c r="BM32" s="24">
        <v>4</v>
      </c>
      <c r="BN32" s="77">
        <v>0.58499999999999996</v>
      </c>
      <c r="BO32" s="77">
        <f t="shared" si="25"/>
        <v>0.17600000000000005</v>
      </c>
      <c r="BP32" s="113">
        <v>3.1</v>
      </c>
      <c r="BQ32" s="77">
        <f t="shared" si="26"/>
        <v>1.1314021114911006</v>
      </c>
      <c r="BR32" s="113">
        <v>4.4000000000000004</v>
      </c>
      <c r="BS32" s="9">
        <v>10361</v>
      </c>
      <c r="BT32" s="19">
        <v>39.700000000000003</v>
      </c>
      <c r="BV32" s="60" t="str">
        <f t="shared" si="27"/>
        <v/>
      </c>
      <c r="BW32" s="61"/>
      <c r="BX32" s="60" t="str">
        <f t="shared" si="81"/>
        <v/>
      </c>
      <c r="BY32" s="60" t="str">
        <f t="shared" si="29"/>
        <v/>
      </c>
      <c r="BZ32" s="60" t="str">
        <f t="shared" si="30"/>
        <v/>
      </c>
      <c r="CA32" s="60" t="str">
        <f t="shared" si="31"/>
        <v/>
      </c>
      <c r="CB32" s="60" t="str">
        <f t="shared" si="32"/>
        <v/>
      </c>
      <c r="CD32" s="18" t="str">
        <f t="shared" si="33"/>
        <v/>
      </c>
      <c r="CE32" s="18" t="str">
        <f t="shared" si="34"/>
        <v/>
      </c>
      <c r="CF32" s="18" t="str">
        <f t="shared" si="35"/>
        <v/>
      </c>
      <c r="CG32" s="18" t="str">
        <f t="shared" si="36"/>
        <v/>
      </c>
      <c r="CH32" s="135" t="str">
        <f t="shared" si="37"/>
        <v/>
      </c>
      <c r="CJ32" s="9" t="str">
        <f t="shared" si="38"/>
        <v/>
      </c>
      <c r="CK32" s="135" t="str">
        <f t="shared" si="39"/>
        <v/>
      </c>
      <c r="CL32" s="61" t="str">
        <f t="shared" si="40"/>
        <v/>
      </c>
      <c r="CM32" s="135" t="str">
        <f t="shared" si="41"/>
        <v/>
      </c>
      <c r="CN32" s="61" t="str">
        <f t="shared" si="42"/>
        <v/>
      </c>
      <c r="CO32" s="113">
        <v>2.4</v>
      </c>
      <c r="CP32" s="129">
        <v>8455</v>
      </c>
      <c r="CQ32" s="136">
        <v>20.5</v>
      </c>
      <c r="CR32" s="77">
        <f t="shared" si="43"/>
        <v>0.87546873735389985</v>
      </c>
      <c r="CS32" s="25">
        <v>2</v>
      </c>
      <c r="CT32" s="2">
        <f t="shared" si="44"/>
        <v>0.69314718055994529</v>
      </c>
      <c r="CU32" s="7">
        <f t="shared" si="45"/>
        <v>21148</v>
      </c>
      <c r="CV32" s="2">
        <f t="shared" si="46"/>
        <v>9.9593006173553409</v>
      </c>
      <c r="CW32" s="14">
        <f t="shared" si="47"/>
        <v>211.48</v>
      </c>
      <c r="CX32" s="2">
        <f t="shared" si="48"/>
        <v>5.3541304313672491</v>
      </c>
      <c r="CY32" s="2">
        <f t="shared" si="49"/>
        <v>0.18568631410734826</v>
      </c>
      <c r="CZ32" s="13">
        <f t="shared" si="50"/>
        <v>532.38677844070185</v>
      </c>
      <c r="DA32" s="2">
        <f t="shared" si="51"/>
        <v>6.2773702523296118</v>
      </c>
      <c r="DB32" s="64">
        <v>1.18</v>
      </c>
      <c r="DC32" s="64">
        <v>0.78</v>
      </c>
      <c r="DD32" s="64">
        <v>1.45</v>
      </c>
      <c r="DE32" s="64">
        <v>0.67</v>
      </c>
      <c r="DF32" s="64">
        <v>1.01</v>
      </c>
      <c r="DG32" s="64">
        <v>0.92</v>
      </c>
      <c r="DH32" s="65">
        <v>20.533333333333331</v>
      </c>
      <c r="DI32" s="15">
        <v>0</v>
      </c>
      <c r="DJ32" s="67">
        <v>21.133333333333336</v>
      </c>
      <c r="DK32" s="15">
        <v>5.1333333333333364</v>
      </c>
      <c r="DL32" s="15">
        <f>DI32+DK32</f>
        <v>5.1333333333333364</v>
      </c>
      <c r="DM32" s="13"/>
      <c r="DP32" s="12">
        <v>3</v>
      </c>
      <c r="DR32" s="13">
        <f t="shared" si="82"/>
        <v>3</v>
      </c>
      <c r="DS32" s="16">
        <v>13</v>
      </c>
      <c r="DT32" s="16">
        <v>18</v>
      </c>
      <c r="DU32" s="16">
        <v>7</v>
      </c>
      <c r="DV32" s="17">
        <v>960</v>
      </c>
      <c r="DW32" s="17">
        <v>2586</v>
      </c>
      <c r="DX32" s="77">
        <f t="shared" si="53"/>
        <v>7.8578675593318028</v>
      </c>
      <c r="DY32" s="17">
        <v>8081000</v>
      </c>
      <c r="DZ32" s="17">
        <f t="shared" si="54"/>
        <v>8081</v>
      </c>
      <c r="EA32" s="129">
        <f t="shared" si="55"/>
        <v>8.9972709062334477</v>
      </c>
      <c r="EB32" s="17">
        <v>9800000</v>
      </c>
      <c r="EC32" s="17">
        <f t="shared" si="56"/>
        <v>9800</v>
      </c>
      <c r="ED32" s="126">
        <f t="shared" si="57"/>
        <v>9.1901376646586641</v>
      </c>
      <c r="EE32" s="123">
        <f t="shared" si="58"/>
        <v>0.82459183673469383</v>
      </c>
      <c r="EF32" s="123">
        <f t="shared" si="59"/>
        <v>1.2127211978715506</v>
      </c>
      <c r="EG32" s="77">
        <f t="shared" si="60"/>
        <v>0.19286675842521572</v>
      </c>
      <c r="EH32" s="113">
        <v>31.2</v>
      </c>
      <c r="EI32" s="77">
        <v>0.60199999999999998</v>
      </c>
      <c r="EJ32" s="77">
        <v>0.14399999999999999</v>
      </c>
      <c r="EK32" s="77">
        <f t="shared" si="61"/>
        <v>-1.9379419794061366</v>
      </c>
      <c r="EL32" s="16">
        <v>0</v>
      </c>
    </row>
    <row r="33" spans="1:142" x14ac:dyDescent="0.3">
      <c r="A33" s="30">
        <f t="shared" si="0"/>
        <v>32</v>
      </c>
      <c r="B33" s="1" t="s">
        <v>8</v>
      </c>
      <c r="C33" s="1" t="s">
        <v>9</v>
      </c>
      <c r="D33" s="149" t="s">
        <v>7</v>
      </c>
      <c r="E33" s="16">
        <v>0</v>
      </c>
      <c r="F33" s="16">
        <v>0</v>
      </c>
      <c r="G33" s="16">
        <v>0</v>
      </c>
      <c r="H33" s="16">
        <v>0</v>
      </c>
      <c r="I33" s="16">
        <v>1</v>
      </c>
      <c r="J33" s="17">
        <v>82</v>
      </c>
      <c r="K33" s="17">
        <v>3634</v>
      </c>
      <c r="L33" s="2">
        <v>-34.605083</v>
      </c>
      <c r="M33" s="2">
        <f t="shared" si="1"/>
        <v>34.605083</v>
      </c>
      <c r="N33" s="2">
        <v>-58.400368</v>
      </c>
      <c r="O33" s="3">
        <v>14364</v>
      </c>
      <c r="P33" s="3">
        <v>14619.51</v>
      </c>
      <c r="Q33" s="3">
        <v>14792.181</v>
      </c>
      <c r="R33" s="6">
        <v>14967</v>
      </c>
      <c r="S33" s="134">
        <f t="shared" si="2"/>
        <v>9.613603056529147</v>
      </c>
      <c r="T33" s="6">
        <v>50339.442999999999</v>
      </c>
      <c r="U33" s="3">
        <f t="shared" si="3"/>
        <v>50.339443000000003</v>
      </c>
      <c r="V33" s="6">
        <f t="shared" si="4"/>
        <v>3.9187889248863206</v>
      </c>
      <c r="W33" s="4">
        <f t="shared" si="5"/>
        <v>29.732152578644943</v>
      </c>
      <c r="X33" s="4">
        <v>0.98241192555827794</v>
      </c>
      <c r="Y33" s="11">
        <v>1.02</v>
      </c>
      <c r="Z33" s="4">
        <f t="shared" si="6"/>
        <v>0.96314894662576267</v>
      </c>
      <c r="AA33" s="17">
        <v>193394</v>
      </c>
      <c r="AB33" s="126">
        <f t="shared" si="7"/>
        <v>1933.94</v>
      </c>
      <c r="AC33" s="14">
        <v>1933.94</v>
      </c>
      <c r="AD33" s="2">
        <f t="shared" si="8"/>
        <v>7.5673146517470906</v>
      </c>
      <c r="AE33" s="6">
        <f t="shared" si="9"/>
        <v>7.7391232406382819</v>
      </c>
      <c r="AF33" s="6">
        <f t="shared" si="10"/>
        <v>2.0462884047820569</v>
      </c>
      <c r="AG33" s="5">
        <v>2780400</v>
      </c>
      <c r="AH33" s="7">
        <f t="shared" si="11"/>
        <v>2780.4</v>
      </c>
      <c r="AI33" s="2">
        <f t="shared" si="12"/>
        <v>6.9556178967055099E-2</v>
      </c>
      <c r="AJ33" s="8">
        <f t="shared" si="13"/>
        <v>18.105108257804631</v>
      </c>
      <c r="AK33" s="134">
        <f t="shared" si="14"/>
        <v>2.8961941226421266</v>
      </c>
      <c r="AL33" s="8">
        <f t="shared" si="15"/>
        <v>427.45523144288035</v>
      </c>
      <c r="AM33" s="20">
        <v>0.51990000000000003</v>
      </c>
      <c r="AN33" s="53">
        <v>161000000000</v>
      </c>
      <c r="AO33" s="20">
        <f t="shared" si="16"/>
        <v>161</v>
      </c>
      <c r="AP33" s="20">
        <f t="shared" si="17"/>
        <v>5.0814043649844631</v>
      </c>
      <c r="AQ33" s="72">
        <f t="shared" si="18"/>
        <v>10884.128581174067</v>
      </c>
      <c r="AR33" s="72">
        <f t="shared" si="19"/>
        <v>9.2950609136126694</v>
      </c>
      <c r="AS33" s="72">
        <f t="shared" si="20"/>
        <v>30.967493748797846</v>
      </c>
      <c r="AT33" s="73">
        <v>315.89999999999998</v>
      </c>
      <c r="AU33" s="20">
        <f t="shared" si="79"/>
        <v>5.7554257078080395</v>
      </c>
      <c r="AV33" s="73">
        <f t="shared" si="73"/>
        <v>60.761684939411417</v>
      </c>
      <c r="AW33" s="53">
        <v>315885</v>
      </c>
      <c r="AX33" s="53">
        <v>23606</v>
      </c>
      <c r="AY33" s="53">
        <f t="shared" si="80"/>
        <v>21607.085326389188</v>
      </c>
      <c r="AZ33" s="53">
        <f t="shared" si="74"/>
        <v>345687.45043093158</v>
      </c>
      <c r="BA33" s="22">
        <f t="shared" si="75"/>
        <v>12.753290323344311</v>
      </c>
      <c r="BB33" s="53">
        <v>23369.606580052769</v>
      </c>
      <c r="BC33" s="22">
        <f t="shared" si="76"/>
        <v>10.059191592990381</v>
      </c>
      <c r="BD33" s="22">
        <v>-0.2363934199472304</v>
      </c>
      <c r="BE33" s="22">
        <f t="shared" si="77"/>
        <v>-0.23639341994723145</v>
      </c>
      <c r="BF33" s="54">
        <v>-1.0014124372923472</v>
      </c>
      <c r="BG33" s="54">
        <f t="shared" si="78"/>
        <v>-1.0014124372923472</v>
      </c>
      <c r="BH33" s="21">
        <v>17.611000000000001</v>
      </c>
      <c r="BI33" s="20">
        <f t="shared" si="24"/>
        <v>2.8685237068129483</v>
      </c>
      <c r="BJ33" s="22">
        <v>0.38600000000000001</v>
      </c>
      <c r="BK33" s="22">
        <v>0.83</v>
      </c>
      <c r="BL33" s="23">
        <v>76.5</v>
      </c>
      <c r="BM33" s="24">
        <v>18</v>
      </c>
      <c r="BN33" s="77">
        <v>0.71399999999999997</v>
      </c>
      <c r="BO33" s="77">
        <f t="shared" si="25"/>
        <v>0.11599999999999999</v>
      </c>
      <c r="BP33" s="113">
        <v>1.9</v>
      </c>
      <c r="BQ33" s="77">
        <f t="shared" si="26"/>
        <v>0.64185388617239469</v>
      </c>
      <c r="BS33" s="9">
        <v>22172</v>
      </c>
      <c r="BT33" s="19">
        <v>79.7</v>
      </c>
      <c r="BU33" s="18">
        <v>34170</v>
      </c>
      <c r="BV33" s="60">
        <f t="shared" si="27"/>
        <v>10.439103345109338</v>
      </c>
      <c r="BW33" s="61">
        <f>BU33*1000000/(R33*1000)</f>
        <v>2283.0226498296252</v>
      </c>
      <c r="BX33" s="60">
        <f t="shared" si="81"/>
        <v>7.7332555675623276</v>
      </c>
      <c r="BY33" s="60">
        <f t="shared" si="29"/>
        <v>17.668593648200048</v>
      </c>
      <c r="BZ33" s="60">
        <f t="shared" si="30"/>
        <v>2.8717886933622472</v>
      </c>
      <c r="CA33" s="60">
        <f t="shared" si="31"/>
        <v>21.22360248447205</v>
      </c>
      <c r="CB33" s="60">
        <f t="shared" si="32"/>
        <v>3.0551138871308288</v>
      </c>
      <c r="CC33" s="18">
        <v>115785</v>
      </c>
      <c r="CD33" s="18">
        <f t="shared" si="33"/>
        <v>32162.502573000002</v>
      </c>
      <c r="CE33" s="18">
        <f t="shared" si="34"/>
        <v>10.378556536589997</v>
      </c>
      <c r="CF33" s="18">
        <f t="shared" si="35"/>
        <v>16.810694031866053</v>
      </c>
      <c r="CG33" s="18">
        <f t="shared" si="36"/>
        <v>2239.1048853383459</v>
      </c>
      <c r="CH33" s="135">
        <f t="shared" si="37"/>
        <v>7.7138314602261602</v>
      </c>
      <c r="CI33" s="9">
        <v>688758</v>
      </c>
      <c r="CJ33" s="9">
        <f t="shared" si="38"/>
        <v>191321.68197240002</v>
      </c>
      <c r="CK33" s="135">
        <f t="shared" si="39"/>
        <v>12.161711489164746</v>
      </c>
      <c r="CL33" s="61">
        <f t="shared" si="40"/>
        <v>13319.52673157895</v>
      </c>
      <c r="CM33" s="135">
        <f t="shared" si="41"/>
        <v>9.4969864128009096</v>
      </c>
      <c r="CN33" s="61">
        <f t="shared" si="42"/>
        <v>16.810694031866053</v>
      </c>
      <c r="CO33" s="113">
        <v>4.0999999999999996</v>
      </c>
      <c r="CP33" s="129">
        <v>13869</v>
      </c>
      <c r="CQ33" s="136">
        <v>57.5</v>
      </c>
      <c r="CR33" s="77">
        <f t="shared" si="43"/>
        <v>1.410986973710262</v>
      </c>
      <c r="CS33" s="25">
        <v>3.4</v>
      </c>
      <c r="CT33" s="2">
        <f t="shared" si="44"/>
        <v>1.2237754316221157</v>
      </c>
      <c r="CU33" s="7">
        <f t="shared" si="45"/>
        <v>50887.799999999996</v>
      </c>
      <c r="CV33" s="2">
        <f t="shared" si="46"/>
        <v>10.837378488151263</v>
      </c>
      <c r="CW33" s="14">
        <f t="shared" si="47"/>
        <v>508.87799999999993</v>
      </c>
      <c r="CX33" s="2">
        <f t="shared" si="48"/>
        <v>6.2322083021631709</v>
      </c>
      <c r="CY33" s="2">
        <f t="shared" si="49"/>
        <v>0.1830233059991368</v>
      </c>
      <c r="CZ33" s="13">
        <f t="shared" si="50"/>
        <v>263.13019018170155</v>
      </c>
      <c r="DA33" s="2">
        <f t="shared" si="51"/>
        <v>5.572648929398218</v>
      </c>
      <c r="DB33" s="64">
        <v>0.44</v>
      </c>
      <c r="DC33" s="64">
        <v>1.62</v>
      </c>
      <c r="DD33" s="64">
        <v>1.2</v>
      </c>
      <c r="DE33" s="64">
        <v>1.98</v>
      </c>
      <c r="DF33" s="64">
        <v>0.42</v>
      </c>
      <c r="DG33" s="64">
        <v>1.48</v>
      </c>
      <c r="DH33" s="65">
        <v>12.5</v>
      </c>
      <c r="DI33" s="15">
        <v>3.5</v>
      </c>
      <c r="DJ33" s="67">
        <v>24.3</v>
      </c>
      <c r="DK33" s="15">
        <v>8.3000000000000007</v>
      </c>
      <c r="DL33" s="15">
        <v>11.8</v>
      </c>
      <c r="DM33" s="13">
        <v>2.1</v>
      </c>
      <c r="DP33" s="12">
        <v>2</v>
      </c>
      <c r="DR33" s="13">
        <f t="shared" si="82"/>
        <v>2.0499999999999998</v>
      </c>
      <c r="DS33" s="16">
        <v>17.7</v>
      </c>
      <c r="DT33" s="16">
        <v>22.5</v>
      </c>
      <c r="DU33" s="16">
        <v>13.5</v>
      </c>
      <c r="DV33" s="17">
        <v>970</v>
      </c>
      <c r="DW33" s="17">
        <v>24</v>
      </c>
      <c r="DX33" s="77">
        <f t="shared" si="53"/>
        <v>3.1780538303479458</v>
      </c>
      <c r="DY33" s="17">
        <v>2900000</v>
      </c>
      <c r="DZ33" s="17">
        <f t="shared" si="54"/>
        <v>2900</v>
      </c>
      <c r="EA33" s="129">
        <f t="shared" si="55"/>
        <v>7.9724660159745655</v>
      </c>
      <c r="EB33" s="17">
        <v>12740000</v>
      </c>
      <c r="EC33" s="17">
        <f t="shared" si="56"/>
        <v>12740</v>
      </c>
      <c r="ED33" s="126">
        <f t="shared" si="57"/>
        <v>9.4525019291261536</v>
      </c>
      <c r="EE33" s="123">
        <f t="shared" si="58"/>
        <v>0.22762951334379905</v>
      </c>
      <c r="EF33" s="123">
        <f t="shared" si="59"/>
        <v>4.3931034482758617</v>
      </c>
      <c r="EG33" s="77">
        <f t="shared" si="60"/>
        <v>1.4800359131515888</v>
      </c>
      <c r="EH33" s="113">
        <v>32.4</v>
      </c>
      <c r="EI33" s="77">
        <v>0.78300000000000003</v>
      </c>
      <c r="EJ33" s="77">
        <v>7.5999999999999998E-2</v>
      </c>
      <c r="EK33" s="77">
        <f t="shared" si="61"/>
        <v>-2.5770219386958062</v>
      </c>
      <c r="EL33" s="16">
        <v>0</v>
      </c>
    </row>
    <row r="34" spans="1:142" x14ac:dyDescent="0.3">
      <c r="A34" s="30">
        <f t="shared" si="0"/>
        <v>33</v>
      </c>
      <c r="B34" s="1" t="s">
        <v>28</v>
      </c>
      <c r="C34" s="1" t="s">
        <v>29</v>
      </c>
      <c r="D34" s="149" t="s">
        <v>7</v>
      </c>
      <c r="E34" s="16">
        <v>0</v>
      </c>
      <c r="F34" s="16">
        <v>0</v>
      </c>
      <c r="G34" s="16">
        <v>0</v>
      </c>
      <c r="H34" s="16">
        <v>0</v>
      </c>
      <c r="I34" s="16">
        <v>1</v>
      </c>
      <c r="K34" s="17">
        <v>1029</v>
      </c>
      <c r="L34" s="2">
        <v>-12.04318</v>
      </c>
      <c r="M34" s="2">
        <f t="shared" si="1"/>
        <v>12.04318</v>
      </c>
      <c r="N34" s="2">
        <v>-77.028239999999997</v>
      </c>
      <c r="O34" s="3">
        <v>9092</v>
      </c>
      <c r="P34" s="3">
        <v>9627.2610000000004</v>
      </c>
      <c r="Q34" s="3">
        <v>10002.049000000001</v>
      </c>
      <c r="R34" s="6">
        <v>10391</v>
      </c>
      <c r="S34" s="134">
        <f t="shared" si="2"/>
        <v>9.2486953258526459</v>
      </c>
      <c r="T34" s="6">
        <v>32510.462</v>
      </c>
      <c r="U34" s="3">
        <f t="shared" si="3"/>
        <v>32.510461999999997</v>
      </c>
      <c r="V34" s="6">
        <f t="shared" si="4"/>
        <v>3.4815619452268347</v>
      </c>
      <c r="W34" s="4">
        <f t="shared" si="5"/>
        <v>31.96201887257093</v>
      </c>
      <c r="X34" s="4">
        <v>1.9413405342908991</v>
      </c>
      <c r="Y34" s="11">
        <v>1.84</v>
      </c>
      <c r="Z34" s="4">
        <f t="shared" si="6"/>
        <v>1.0550763773320104</v>
      </c>
      <c r="AA34" s="143">
        <v>267200</v>
      </c>
      <c r="AB34" s="144">
        <f t="shared" si="7"/>
        <v>2672</v>
      </c>
      <c r="AC34" s="145">
        <v>2819</v>
      </c>
      <c r="AD34" s="2">
        <f t="shared" si="8"/>
        <v>7.9441374911141125</v>
      </c>
      <c r="AE34" s="6">
        <f t="shared" si="9"/>
        <v>3.6860588861298331</v>
      </c>
      <c r="AF34" s="6">
        <f t="shared" si="10"/>
        <v>1.304557834738534</v>
      </c>
      <c r="AG34" s="5">
        <v>1285216</v>
      </c>
      <c r="AH34" s="7">
        <f t="shared" si="11"/>
        <v>1285.2159999999999</v>
      </c>
      <c r="AI34" s="2">
        <f t="shared" si="12"/>
        <v>0.21934056220899836</v>
      </c>
      <c r="AJ34" s="8">
        <f t="shared" si="13"/>
        <v>25.295718385080797</v>
      </c>
      <c r="AK34" s="134">
        <f t="shared" si="14"/>
        <v>3.2306351476205477</v>
      </c>
      <c r="AL34" s="8">
        <f t="shared" si="15"/>
        <v>145.71868764572582</v>
      </c>
      <c r="AM34" s="20">
        <v>0.222</v>
      </c>
      <c r="AN34" s="53">
        <v>199869000000</v>
      </c>
      <c r="AO34" s="20">
        <f t="shared" si="16"/>
        <v>199.869</v>
      </c>
      <c r="AP34" s="20">
        <f t="shared" si="17"/>
        <v>5.2976621519418199</v>
      </c>
      <c r="AQ34" s="72">
        <f t="shared" si="18"/>
        <v>19982.805523148309</v>
      </c>
      <c r="AR34" s="72">
        <f t="shared" si="19"/>
        <v>9.9026274589190493</v>
      </c>
      <c r="AS34" s="72">
        <f t="shared" si="20"/>
        <v>90.031081081081084</v>
      </c>
      <c r="AT34" s="73">
        <v>176.5</v>
      </c>
      <c r="AU34" s="20">
        <f t="shared" si="79"/>
        <v>5.1733208763733511</v>
      </c>
      <c r="AV34" s="73">
        <f t="shared" si="73"/>
        <v>79.504504504504496</v>
      </c>
      <c r="AW34" s="53">
        <v>176447</v>
      </c>
      <c r="AX34" s="53">
        <v>16530</v>
      </c>
      <c r="AY34" s="53">
        <f t="shared" si="80"/>
        <v>18327.850465464686</v>
      </c>
      <c r="AZ34" s="53">
        <f t="shared" si="74"/>
        <v>167007.83552027817</v>
      </c>
      <c r="BA34" s="22">
        <f t="shared" si="75"/>
        <v>12.02579600958132</v>
      </c>
      <c r="BB34" s="53">
        <v>16697.362262500228</v>
      </c>
      <c r="BC34" s="22">
        <f t="shared" si="76"/>
        <v>9.7230060375764111</v>
      </c>
      <c r="BD34" s="22">
        <v>0.16736226250022934</v>
      </c>
      <c r="BE34" s="22">
        <f t="shared" si="77"/>
        <v>0.16736226250022809</v>
      </c>
      <c r="BF34" s="54">
        <v>1.0124758771943623</v>
      </c>
      <c r="BG34" s="54">
        <f t="shared" si="78"/>
        <v>1.0124758771943623</v>
      </c>
      <c r="BH34" s="21">
        <v>12.323</v>
      </c>
      <c r="BI34" s="20">
        <f t="shared" si="24"/>
        <v>2.511467434955986</v>
      </c>
      <c r="BJ34" s="22">
        <v>0.45399999999999996</v>
      </c>
      <c r="BK34" s="22">
        <v>0.75900000000000001</v>
      </c>
      <c r="BL34" s="23">
        <v>76.5</v>
      </c>
      <c r="BM34" s="24">
        <v>6</v>
      </c>
      <c r="BN34" s="77">
        <v>0.61199999999999999</v>
      </c>
      <c r="BO34" s="77">
        <f t="shared" si="25"/>
        <v>0.14700000000000002</v>
      </c>
      <c r="BP34" s="113">
        <v>2.2000000000000002</v>
      </c>
      <c r="BQ34" s="77">
        <f t="shared" si="26"/>
        <v>0.78845736036427028</v>
      </c>
      <c r="BS34" s="9">
        <v>9908</v>
      </c>
      <c r="BT34" s="19">
        <v>34.700000000000003</v>
      </c>
      <c r="BU34" s="18">
        <v>17727.68</v>
      </c>
      <c r="BV34" s="60">
        <f t="shared" si="27"/>
        <v>9.782882538842582</v>
      </c>
      <c r="BW34" s="61">
        <f>BU34*1000000/(R34*1000)</f>
        <v>1706.0610143393321</v>
      </c>
      <c r="BX34" s="60">
        <f t="shared" si="81"/>
        <v>7.4419424919720711</v>
      </c>
      <c r="BY34" s="60">
        <f t="shared" si="29"/>
        <v>6.2886413621851718</v>
      </c>
      <c r="BZ34" s="60">
        <f t="shared" si="30"/>
        <v>1.8387450477284686</v>
      </c>
      <c r="CA34" s="60">
        <f t="shared" si="31"/>
        <v>8.8696496205014288</v>
      </c>
      <c r="CB34" s="60">
        <f t="shared" si="32"/>
        <v>2.1826352939067153</v>
      </c>
      <c r="CD34" s="18" t="str">
        <f t="shared" si="33"/>
        <v/>
      </c>
      <c r="CE34" s="18" t="str">
        <f t="shared" si="34"/>
        <v/>
      </c>
      <c r="CF34" s="18" t="str">
        <f t="shared" si="35"/>
        <v/>
      </c>
      <c r="CG34" s="18" t="str">
        <f t="shared" si="36"/>
        <v/>
      </c>
      <c r="CH34" s="135" t="str">
        <f t="shared" si="37"/>
        <v/>
      </c>
      <c r="CJ34" s="9" t="str">
        <f t="shared" si="38"/>
        <v/>
      </c>
      <c r="CK34" s="135" t="str">
        <f t="shared" si="39"/>
        <v/>
      </c>
      <c r="CL34" s="61" t="str">
        <f t="shared" si="40"/>
        <v/>
      </c>
      <c r="CM34" s="135" t="str">
        <f t="shared" si="41"/>
        <v/>
      </c>
      <c r="CN34" s="61" t="str">
        <f t="shared" si="42"/>
        <v/>
      </c>
      <c r="CO34" s="113">
        <v>2.6</v>
      </c>
      <c r="CP34" s="129">
        <v>9043</v>
      </c>
      <c r="CQ34" s="136">
        <v>23.2</v>
      </c>
      <c r="CR34" s="77">
        <f t="shared" si="43"/>
        <v>0.95551144502743635</v>
      </c>
      <c r="CS34" s="25">
        <v>2.2000000000000002</v>
      </c>
      <c r="CT34" s="2">
        <f t="shared" si="44"/>
        <v>0.78845736036427028</v>
      </c>
      <c r="CU34" s="7">
        <f t="shared" si="45"/>
        <v>22860.2</v>
      </c>
      <c r="CV34" s="2">
        <f t="shared" si="46"/>
        <v>10.037152686216917</v>
      </c>
      <c r="CW34" s="14">
        <f t="shared" si="47"/>
        <v>228.602</v>
      </c>
      <c r="CX34" s="2">
        <f t="shared" si="48"/>
        <v>5.4319825002288251</v>
      </c>
      <c r="CY34" s="2">
        <f t="shared" si="49"/>
        <v>0.17787049025222221</v>
      </c>
      <c r="CZ34" s="13">
        <f t="shared" si="50"/>
        <v>81.093295494856335</v>
      </c>
      <c r="DA34" s="2">
        <f t="shared" si="51"/>
        <v>4.3956002880968503</v>
      </c>
      <c r="DB34" s="64">
        <v>-1.65</v>
      </c>
      <c r="DC34" s="64">
        <v>0.82</v>
      </c>
      <c r="DD34" s="64">
        <v>-2.0099999999999998</v>
      </c>
      <c r="DE34" s="64">
        <v>0.94</v>
      </c>
      <c r="DF34" s="64">
        <v>-0.74</v>
      </c>
      <c r="DG34" s="64">
        <v>0.62</v>
      </c>
      <c r="DH34" s="65">
        <v>20.333333333333332</v>
      </c>
      <c r="DI34" s="12">
        <v>1</v>
      </c>
      <c r="DJ34" s="67">
        <v>15</v>
      </c>
      <c r="DK34" s="15">
        <v>4.3333333333333321</v>
      </c>
      <c r="DL34" s="15">
        <f>DI34+DK34</f>
        <v>5.3333333333333321</v>
      </c>
      <c r="DM34" s="13"/>
      <c r="DP34" s="12">
        <v>0.02</v>
      </c>
      <c r="DQ34" s="12">
        <v>0.15</v>
      </c>
      <c r="DR34" s="13">
        <f t="shared" si="82"/>
        <v>8.4999999999999992E-2</v>
      </c>
      <c r="DS34" s="16">
        <v>20</v>
      </c>
      <c r="DT34" s="16">
        <v>22</v>
      </c>
      <c r="DU34" s="16">
        <v>17</v>
      </c>
      <c r="DV34" s="17">
        <v>16</v>
      </c>
      <c r="DW34" s="17">
        <v>163</v>
      </c>
      <c r="DX34" s="77">
        <f t="shared" si="53"/>
        <v>5.0937502008067623</v>
      </c>
      <c r="DY34" s="17">
        <v>9752000</v>
      </c>
      <c r="DZ34" s="17">
        <f t="shared" si="54"/>
        <v>9752</v>
      </c>
      <c r="EA34" s="129">
        <f t="shared" si="55"/>
        <v>9.1852276711611083</v>
      </c>
      <c r="EB34" s="17">
        <v>10852000</v>
      </c>
      <c r="EC34" s="17">
        <f t="shared" si="56"/>
        <v>10852</v>
      </c>
      <c r="ED34" s="126">
        <f t="shared" si="57"/>
        <v>9.2921046737788231</v>
      </c>
      <c r="EE34" s="123">
        <f t="shared" si="58"/>
        <v>0.89863619609288614</v>
      </c>
      <c r="EF34" s="123">
        <f t="shared" si="59"/>
        <v>1.1127973748974569</v>
      </c>
      <c r="EG34" s="77">
        <f t="shared" si="60"/>
        <v>0.10687700261771488</v>
      </c>
      <c r="EH34" s="113">
        <v>29.1</v>
      </c>
      <c r="EI34" s="77">
        <v>0.66400000000000003</v>
      </c>
      <c r="EJ34" s="77">
        <v>0.19700000000000001</v>
      </c>
      <c r="EK34" s="77">
        <f t="shared" si="61"/>
        <v>-1.6245515502441485</v>
      </c>
      <c r="EL34" s="16">
        <v>0</v>
      </c>
    </row>
    <row r="35" spans="1:142" x14ac:dyDescent="0.3">
      <c r="A35" s="30">
        <f t="shared" si="0"/>
        <v>34</v>
      </c>
      <c r="B35" s="1" t="s">
        <v>34</v>
      </c>
      <c r="C35" s="1" t="s">
        <v>35</v>
      </c>
      <c r="D35" s="149" t="s">
        <v>7</v>
      </c>
      <c r="E35" s="16">
        <v>0</v>
      </c>
      <c r="F35" s="16">
        <v>0</v>
      </c>
      <c r="G35" s="16">
        <v>0</v>
      </c>
      <c r="H35" s="16">
        <v>0</v>
      </c>
      <c r="I35" s="16">
        <v>1</v>
      </c>
      <c r="J35" s="17">
        <v>120</v>
      </c>
      <c r="K35" s="17">
        <v>1748</v>
      </c>
      <c r="L35" s="2">
        <v>19.427318</v>
      </c>
      <c r="M35" s="2">
        <f t="shared" si="1"/>
        <v>19.427318</v>
      </c>
      <c r="N35" s="2">
        <v>-99.141869</v>
      </c>
      <c r="O35" s="3">
        <v>20372</v>
      </c>
      <c r="P35" s="3">
        <v>21093.544000000002</v>
      </c>
      <c r="Q35" s="3">
        <v>21419.975999999999</v>
      </c>
      <c r="R35" s="6">
        <v>12294</v>
      </c>
      <c r="S35" s="134">
        <f t="shared" si="2"/>
        <v>9.4168666174669546</v>
      </c>
      <c r="T35" s="6">
        <v>127575.52899999999</v>
      </c>
      <c r="U35" s="3">
        <f t="shared" si="3"/>
        <v>127.57552899999999</v>
      </c>
      <c r="V35" s="6">
        <f t="shared" si="4"/>
        <v>4.8487085735218809</v>
      </c>
      <c r="W35" s="4">
        <f t="shared" si="5"/>
        <v>9.6366443442299978</v>
      </c>
      <c r="X35" s="4">
        <v>1.0170881256165905</v>
      </c>
      <c r="Y35" s="11">
        <v>1.4</v>
      </c>
      <c r="Z35" s="4">
        <f t="shared" si="6"/>
        <v>0.72649151829756464</v>
      </c>
      <c r="AA35" s="17">
        <v>210020</v>
      </c>
      <c r="AB35" s="126">
        <f t="shared" si="7"/>
        <v>2100.1999999999998</v>
      </c>
      <c r="AC35" s="14">
        <v>2100.1999999999998</v>
      </c>
      <c r="AD35" s="2">
        <f t="shared" si="8"/>
        <v>7.6497878572718925</v>
      </c>
      <c r="AE35" s="6">
        <f t="shared" si="9"/>
        <v>5.8537282163603468</v>
      </c>
      <c r="AF35" s="6">
        <f t="shared" si="10"/>
        <v>1.7670787601950617</v>
      </c>
      <c r="AG35" s="5">
        <v>1964375</v>
      </c>
      <c r="AH35" s="7">
        <f t="shared" si="11"/>
        <v>1964.375</v>
      </c>
      <c r="AI35" s="2">
        <f t="shared" si="12"/>
        <v>0.10691441298122811</v>
      </c>
      <c r="AJ35" s="8">
        <f t="shared" si="13"/>
        <v>64.944590009545024</v>
      </c>
      <c r="AK35" s="134">
        <f t="shared" si="14"/>
        <v>4.1735344449521863</v>
      </c>
      <c r="AL35" s="8">
        <f t="shared" si="15"/>
        <v>90.134193094451959</v>
      </c>
      <c r="AM35" s="20">
        <v>1.2210000000000001</v>
      </c>
      <c r="AN35" s="53">
        <v>266000000000</v>
      </c>
      <c r="AO35" s="20">
        <f t="shared" si="16"/>
        <v>266</v>
      </c>
      <c r="AP35" s="20">
        <f t="shared" si="17"/>
        <v>5.5834963087816991</v>
      </c>
      <c r="AQ35" s="72">
        <f t="shared" si="18"/>
        <v>12418.314567672718</v>
      </c>
      <c r="AR35" s="72">
        <f t="shared" si="19"/>
        <v>9.4269276431930411</v>
      </c>
      <c r="AS35" s="72">
        <f t="shared" si="20"/>
        <v>21.785421785421786</v>
      </c>
      <c r="AT35" s="73">
        <v>403.6</v>
      </c>
      <c r="AU35" s="20">
        <f t="shared" si="79"/>
        <v>6.0004242884794543</v>
      </c>
      <c r="AV35" s="73">
        <f t="shared" si="73"/>
        <v>33.054873054873056</v>
      </c>
      <c r="AW35" s="53">
        <v>403561</v>
      </c>
      <c r="AX35" s="53">
        <v>19239</v>
      </c>
      <c r="AY35" s="53">
        <f t="shared" si="80"/>
        <v>19131.967582118967</v>
      </c>
      <c r="AZ35" s="53">
        <f t="shared" si="74"/>
        <v>426165.51796067704</v>
      </c>
      <c r="BA35" s="22">
        <f t="shared" si="75"/>
        <v>12.962583089603257</v>
      </c>
      <c r="BB35" s="53">
        <v>19895.7047365822</v>
      </c>
      <c r="BC35" s="22">
        <f t="shared" si="76"/>
        <v>9.8982591450324602</v>
      </c>
      <c r="BD35" s="22">
        <v>0.65670473658220097</v>
      </c>
      <c r="BE35" s="22">
        <f t="shared" si="77"/>
        <v>0.65670473658219997</v>
      </c>
      <c r="BF35" s="54">
        <v>3.4134036934466447</v>
      </c>
      <c r="BG35" s="54">
        <f t="shared" si="78"/>
        <v>3.4134036934466447</v>
      </c>
      <c r="BH35" s="21">
        <v>17.628</v>
      </c>
      <c r="BI35" s="20">
        <f t="shared" si="24"/>
        <v>2.8694885469797407</v>
      </c>
      <c r="BJ35" s="22">
        <v>0.45899999999999996</v>
      </c>
      <c r="BK35" s="22">
        <v>0.76700000000000002</v>
      </c>
      <c r="BL35" s="23">
        <v>75</v>
      </c>
      <c r="BM35" s="24">
        <v>-11</v>
      </c>
      <c r="BN35" s="77">
        <v>0.59499999999999997</v>
      </c>
      <c r="BO35" s="77">
        <f t="shared" si="25"/>
        <v>0.17200000000000004</v>
      </c>
      <c r="BP35" s="113">
        <v>2.2999999999999998</v>
      </c>
      <c r="BQ35" s="77">
        <f t="shared" si="26"/>
        <v>0.83290912293510388</v>
      </c>
      <c r="BS35" s="9">
        <v>17243</v>
      </c>
      <c r="BT35" s="19">
        <v>59.8</v>
      </c>
      <c r="BU35" s="18">
        <v>13667</v>
      </c>
      <c r="BV35" s="60">
        <f t="shared" si="27"/>
        <v>9.5227394469648008</v>
      </c>
      <c r="BW35" s="61">
        <f>BU35*1000000/(R35*1000)</f>
        <v>1111.6804945501872</v>
      </c>
      <c r="BX35" s="60">
        <f t="shared" si="81"/>
        <v>7.013628108479983</v>
      </c>
      <c r="BY35" s="60">
        <f t="shared" si="29"/>
        <v>6.5074754785258548</v>
      </c>
      <c r="BZ35" s="60">
        <f t="shared" si="30"/>
        <v>1.8729515896929074</v>
      </c>
      <c r="CA35" s="60">
        <f t="shared" si="31"/>
        <v>5.1379699248120296</v>
      </c>
      <c r="CB35" s="60">
        <f t="shared" si="32"/>
        <v>1.6366580451890556</v>
      </c>
      <c r="CC35" s="18">
        <v>252930</v>
      </c>
      <c r="CD35" s="18">
        <f t="shared" si="33"/>
        <v>70258.338954000006</v>
      </c>
      <c r="CE35" s="18">
        <f t="shared" si="34"/>
        <v>11.159934284122764</v>
      </c>
      <c r="CF35" s="18">
        <f t="shared" si="35"/>
        <v>60.02235442923827</v>
      </c>
      <c r="CG35" s="18">
        <f t="shared" si="36"/>
        <v>3448.7698288827801</v>
      </c>
      <c r="CH35" s="135">
        <f t="shared" si="37"/>
        <v>8.1457728751004055</v>
      </c>
      <c r="CI35" s="9">
        <v>421393</v>
      </c>
      <c r="CJ35" s="9">
        <f t="shared" si="38"/>
        <v>117053.62047540001</v>
      </c>
      <c r="CK35" s="135">
        <f t="shared" si="39"/>
        <v>11.670387403456509</v>
      </c>
      <c r="CL35" s="61">
        <f t="shared" si="40"/>
        <v>5745.8089768014925</v>
      </c>
      <c r="CM35" s="135">
        <f t="shared" si="41"/>
        <v>8.6562259944341502</v>
      </c>
      <c r="CN35" s="61">
        <f t="shared" si="42"/>
        <v>60.022354429238256</v>
      </c>
      <c r="CO35" s="113">
        <v>2.8</v>
      </c>
      <c r="CP35" s="129">
        <v>19821</v>
      </c>
      <c r="CQ35" s="136">
        <v>55.7</v>
      </c>
      <c r="CR35" s="77">
        <f t="shared" si="43"/>
        <v>1.0296194171811581</v>
      </c>
      <c r="CS35" s="25">
        <v>2.6</v>
      </c>
      <c r="CT35" s="2">
        <f t="shared" si="44"/>
        <v>0.95551144502743635</v>
      </c>
      <c r="CU35" s="7">
        <f t="shared" si="45"/>
        <v>31964.400000000001</v>
      </c>
      <c r="CV35" s="2">
        <f t="shared" si="46"/>
        <v>10.372378062494391</v>
      </c>
      <c r="CW35" s="14">
        <f t="shared" si="47"/>
        <v>319.64400000000001</v>
      </c>
      <c r="CX35" s="2">
        <f t="shared" si="48"/>
        <v>5.7672078765062995</v>
      </c>
      <c r="CY35" s="2">
        <f t="shared" si="49"/>
        <v>0.16272045816099268</v>
      </c>
      <c r="CZ35" s="13">
        <f t="shared" si="50"/>
        <v>152.19693362536901</v>
      </c>
      <c r="DA35" s="2">
        <f t="shared" si="51"/>
        <v>5.0251752982165439</v>
      </c>
      <c r="DB35" s="64">
        <v>0.21</v>
      </c>
      <c r="DC35" s="64">
        <v>1.93</v>
      </c>
      <c r="DD35" s="64">
        <v>1.28</v>
      </c>
      <c r="DE35" s="64">
        <v>0.99</v>
      </c>
      <c r="DF35" s="64">
        <v>-0.76</v>
      </c>
      <c r="DG35" s="64">
        <v>2.74</v>
      </c>
      <c r="DH35" s="65">
        <v>13.066666666666668</v>
      </c>
      <c r="DI35" s="15">
        <v>2.9333333333333318</v>
      </c>
      <c r="DJ35" s="67">
        <v>17.7</v>
      </c>
      <c r="DK35" s="15">
        <v>1.6999999999999993</v>
      </c>
      <c r="DL35" s="15">
        <f>DI35+DK35</f>
        <v>4.6333333333333311</v>
      </c>
      <c r="DM35" s="13">
        <v>5</v>
      </c>
      <c r="DP35" s="12">
        <v>8</v>
      </c>
      <c r="DR35" s="13">
        <f t="shared" si="82"/>
        <v>6.5</v>
      </c>
      <c r="DS35" s="16">
        <v>15.5</v>
      </c>
      <c r="DT35" s="16">
        <v>22.8</v>
      </c>
      <c r="DU35" s="16">
        <v>8.1</v>
      </c>
      <c r="DV35" s="17">
        <v>1010</v>
      </c>
      <c r="DW35" s="17">
        <v>2238</v>
      </c>
      <c r="DX35" s="77">
        <f t="shared" si="53"/>
        <v>7.7133378888718704</v>
      </c>
      <c r="DY35" s="17">
        <v>8919000</v>
      </c>
      <c r="DZ35" s="17">
        <f t="shared" si="54"/>
        <v>8919</v>
      </c>
      <c r="EA35" s="129">
        <f t="shared" si="55"/>
        <v>9.0959391116662065</v>
      </c>
      <c r="EB35" s="17">
        <v>20400000</v>
      </c>
      <c r="EC35" s="17">
        <f t="shared" si="56"/>
        <v>20400</v>
      </c>
      <c r="ED35" s="126">
        <f t="shared" si="57"/>
        <v>9.923290179832307</v>
      </c>
      <c r="EE35" s="123">
        <f t="shared" si="58"/>
        <v>0.43720588235294117</v>
      </c>
      <c r="EF35" s="123">
        <f t="shared" si="59"/>
        <v>2.2872519340733266</v>
      </c>
      <c r="EG35" s="77">
        <f t="shared" si="60"/>
        <v>0.82735106816610038</v>
      </c>
      <c r="EH35" s="113">
        <v>29.3</v>
      </c>
      <c r="EI35" s="77">
        <v>0.63800000000000001</v>
      </c>
      <c r="EJ35" s="77">
        <v>7.8E-2</v>
      </c>
      <c r="EK35" s="77">
        <f t="shared" si="61"/>
        <v>-2.5510464522925451</v>
      </c>
      <c r="EL35" s="16">
        <v>0</v>
      </c>
    </row>
    <row r="36" spans="1:142" x14ac:dyDescent="0.3">
      <c r="A36" s="30">
        <f t="shared" si="0"/>
        <v>35</v>
      </c>
      <c r="B36" s="1" t="s">
        <v>43</v>
      </c>
      <c r="C36" s="1" t="s">
        <v>44</v>
      </c>
      <c r="D36" s="149" t="s">
        <v>7</v>
      </c>
      <c r="E36" s="16">
        <v>0</v>
      </c>
      <c r="F36" s="16">
        <v>0</v>
      </c>
      <c r="G36" s="16">
        <v>0</v>
      </c>
      <c r="H36" s="16">
        <v>0</v>
      </c>
      <c r="I36" s="16">
        <v>1</v>
      </c>
      <c r="J36" s="17">
        <v>65</v>
      </c>
      <c r="K36" s="17">
        <v>3258</v>
      </c>
      <c r="L36" s="2">
        <v>-22.90278</v>
      </c>
      <c r="M36" s="2">
        <f t="shared" si="1"/>
        <v>22.90278</v>
      </c>
      <c r="N36" s="2">
        <v>-43.207500000000003</v>
      </c>
      <c r="O36" s="3">
        <v>12485</v>
      </c>
      <c r="P36" s="3">
        <v>12825.373</v>
      </c>
      <c r="Q36" s="3">
        <v>13057.419</v>
      </c>
      <c r="R36" s="6">
        <v>13293</v>
      </c>
      <c r="S36" s="134">
        <f t="shared" si="2"/>
        <v>9.4949928598675992</v>
      </c>
      <c r="T36" s="6">
        <v>211049.519</v>
      </c>
      <c r="U36" s="3">
        <f t="shared" si="3"/>
        <v>211.049519</v>
      </c>
      <c r="V36" s="6">
        <f t="shared" si="4"/>
        <v>5.3520927931451245</v>
      </c>
      <c r="W36" s="4">
        <f t="shared" si="5"/>
        <v>6.2985218175266251</v>
      </c>
      <c r="X36" s="4">
        <v>0.89593388285588138</v>
      </c>
      <c r="Y36" s="11">
        <v>0.94</v>
      </c>
      <c r="Z36" s="4">
        <f t="shared" si="6"/>
        <v>0.953121151974342</v>
      </c>
      <c r="AA36" s="143">
        <v>125530</v>
      </c>
      <c r="AB36" s="144">
        <f t="shared" si="7"/>
        <v>1255.3</v>
      </c>
      <c r="AC36" s="145">
        <v>4539</v>
      </c>
      <c r="AD36" s="2">
        <f t="shared" si="8"/>
        <v>8.4204620024564658</v>
      </c>
      <c r="AE36" s="6">
        <f t="shared" si="9"/>
        <v>2.9286186384666224</v>
      </c>
      <c r="AF36" s="6">
        <f t="shared" si="10"/>
        <v>1.0745308574111334</v>
      </c>
      <c r="AG36" s="5">
        <v>8515770</v>
      </c>
      <c r="AH36" s="7">
        <f t="shared" si="11"/>
        <v>8515.77</v>
      </c>
      <c r="AI36" s="2">
        <f t="shared" si="12"/>
        <v>5.3301110762737837E-2</v>
      </c>
      <c r="AJ36" s="8">
        <f t="shared" si="13"/>
        <v>24.78337472712391</v>
      </c>
      <c r="AK36" s="134">
        <f t="shared" si="14"/>
        <v>3.2101730544635827</v>
      </c>
      <c r="AL36" s="8">
        <f t="shared" si="15"/>
        <v>118.16867842705159</v>
      </c>
      <c r="AM36" s="20">
        <v>1.869</v>
      </c>
      <c r="AN36" s="53">
        <v>201000000000</v>
      </c>
      <c r="AO36" s="20">
        <f t="shared" si="16"/>
        <v>201</v>
      </c>
      <c r="AP36" s="20">
        <f t="shared" si="17"/>
        <v>5.3033049080590757</v>
      </c>
      <c r="AQ36" s="72">
        <f t="shared" si="18"/>
        <v>15393.547530335054</v>
      </c>
      <c r="AR36" s="72">
        <f t="shared" si="19"/>
        <v>9.641703709063556</v>
      </c>
      <c r="AS36" s="72">
        <f t="shared" si="20"/>
        <v>10.754414125200643</v>
      </c>
      <c r="AT36" s="73">
        <v>176.6</v>
      </c>
      <c r="AU36" s="20">
        <f t="shared" si="79"/>
        <v>5.1738872881698592</v>
      </c>
      <c r="AV36" s="73">
        <f t="shared" si="73"/>
        <v>9.4489031567683242</v>
      </c>
      <c r="AW36" s="53">
        <v>176630</v>
      </c>
      <c r="AX36" s="53">
        <v>14176</v>
      </c>
      <c r="AY36" s="53">
        <f t="shared" si="80"/>
        <v>13771.919148082477</v>
      </c>
      <c r="AZ36" s="53">
        <f t="shared" si="74"/>
        <v>177267.52034400002</v>
      </c>
      <c r="BA36" s="22">
        <f t="shared" si="75"/>
        <v>12.08541528489172</v>
      </c>
      <c r="BB36" s="53">
        <v>13576</v>
      </c>
      <c r="BC36" s="22">
        <f t="shared" si="76"/>
        <v>9.5160588069140619</v>
      </c>
      <c r="BD36" s="22">
        <v>-0.6</v>
      </c>
      <c r="BE36" s="22">
        <f t="shared" si="77"/>
        <v>-0.6</v>
      </c>
      <c r="BF36" s="54">
        <v>-4.2325056433408577</v>
      </c>
      <c r="BG36" s="54">
        <f t="shared" si="78"/>
        <v>-4.2325056433408577</v>
      </c>
      <c r="BH36" s="21">
        <v>14.068</v>
      </c>
      <c r="BI36" s="20">
        <f t="shared" si="24"/>
        <v>2.6439027146117362</v>
      </c>
      <c r="BJ36" s="22">
        <v>0.44900000000000001</v>
      </c>
      <c r="BK36" s="22">
        <v>0.76100000000000001</v>
      </c>
      <c r="BL36" s="23">
        <v>75.7</v>
      </c>
      <c r="BM36" s="24">
        <v>2</v>
      </c>
      <c r="BN36" s="77">
        <v>0.57399999999999995</v>
      </c>
      <c r="BO36" s="77">
        <f t="shared" si="25"/>
        <v>0.18700000000000006</v>
      </c>
      <c r="BP36" s="113">
        <v>4</v>
      </c>
      <c r="BQ36" s="77">
        <f t="shared" si="26"/>
        <v>1.3862943611198906</v>
      </c>
      <c r="BR36" s="113">
        <v>7.2</v>
      </c>
      <c r="BS36" s="9">
        <v>16091</v>
      </c>
      <c r="BT36" s="19">
        <v>59.1</v>
      </c>
      <c r="BU36" s="18">
        <v>33241</v>
      </c>
      <c r="BV36" s="60">
        <f t="shared" si="27"/>
        <v>10.411539332752723</v>
      </c>
      <c r="BW36" s="61">
        <f>BU36*1000000/(R36*1000)</f>
        <v>2500.6394342887234</v>
      </c>
      <c r="BX36" s="60">
        <f t="shared" si="81"/>
        <v>7.8243017518672611</v>
      </c>
      <c r="BY36" s="60">
        <f t="shared" si="29"/>
        <v>7.3234192553425865</v>
      </c>
      <c r="BZ36" s="60">
        <f t="shared" si="30"/>
        <v>1.9910773302962577</v>
      </c>
      <c r="CA36" s="60">
        <f t="shared" si="31"/>
        <v>16.53781094527363</v>
      </c>
      <c r="CB36" s="60">
        <f t="shared" si="32"/>
        <v>2.8056493316996018</v>
      </c>
      <c r="CC36" s="18">
        <v>114406</v>
      </c>
      <c r="CD36" s="18">
        <f t="shared" si="33"/>
        <v>31779.446986800001</v>
      </c>
      <c r="CE36" s="18">
        <f t="shared" si="34"/>
        <v>10.366575038642889</v>
      </c>
      <c r="CF36" s="18">
        <f t="shared" si="35"/>
        <v>34.118352265441175</v>
      </c>
      <c r="CG36" s="18">
        <f t="shared" si="36"/>
        <v>2545.4102512454947</v>
      </c>
      <c r="CH36" s="135">
        <f t="shared" si="37"/>
        <v>7.8420471149111535</v>
      </c>
      <c r="CI36" s="9">
        <v>335321</v>
      </c>
      <c r="CJ36" s="9">
        <f t="shared" si="38"/>
        <v>93144.7296738</v>
      </c>
      <c r="CK36" s="135">
        <f t="shared" si="39"/>
        <v>11.441909795511213</v>
      </c>
      <c r="CL36" s="61">
        <f t="shared" si="40"/>
        <v>7460.5310111173412</v>
      </c>
      <c r="CM36" s="135">
        <f t="shared" si="41"/>
        <v>8.9173818717794759</v>
      </c>
      <c r="CN36" s="61">
        <f t="shared" si="42"/>
        <v>34.118352265441175</v>
      </c>
      <c r="CO36" s="113">
        <v>1.8</v>
      </c>
      <c r="CP36" s="129">
        <v>9208</v>
      </c>
      <c r="CQ36" s="136">
        <v>16.7</v>
      </c>
      <c r="CR36" s="77">
        <f t="shared" si="43"/>
        <v>0.58778666490211906</v>
      </c>
      <c r="CS36" s="25">
        <v>2.8</v>
      </c>
      <c r="CT36" s="2">
        <f t="shared" si="44"/>
        <v>1.0296194171811581</v>
      </c>
      <c r="CU36" s="7">
        <f t="shared" si="45"/>
        <v>37220.399999999994</v>
      </c>
      <c r="CV36" s="2">
        <f t="shared" si="46"/>
        <v>10.524612277048757</v>
      </c>
      <c r="CW36" s="14">
        <f t="shared" si="47"/>
        <v>372.20399999999995</v>
      </c>
      <c r="CX36" s="2">
        <f t="shared" si="48"/>
        <v>5.9194420910606658</v>
      </c>
      <c r="CY36" s="2">
        <f t="shared" si="49"/>
        <v>4.3707615400603812E-2</v>
      </c>
      <c r="CZ36" s="13">
        <f t="shared" si="50"/>
        <v>82.001321877065422</v>
      </c>
      <c r="DA36" s="2">
        <f t="shared" si="51"/>
        <v>4.4067353675863377</v>
      </c>
      <c r="DB36" s="64">
        <v>2.2599999999999998</v>
      </c>
      <c r="DC36" s="64">
        <v>0.96</v>
      </c>
      <c r="DD36" s="64">
        <v>3.41</v>
      </c>
      <c r="DE36" s="64">
        <v>1.04</v>
      </c>
      <c r="DF36" s="64">
        <v>1.4</v>
      </c>
      <c r="DG36" s="64">
        <v>1.02</v>
      </c>
      <c r="DH36" s="65">
        <v>26.033333333333331</v>
      </c>
      <c r="DJ36" s="67">
        <v>23.566666666666666</v>
      </c>
      <c r="DK36" s="15">
        <v>10.033333333333331</v>
      </c>
      <c r="DL36" s="15">
        <f>DI36+DK36</f>
        <v>10.033333333333331</v>
      </c>
      <c r="DM36" s="13"/>
      <c r="DP36" s="12">
        <v>5.0999999999999996</v>
      </c>
      <c r="DR36" s="13">
        <f t="shared" si="82"/>
        <v>5.0999999999999996</v>
      </c>
      <c r="DS36" s="16">
        <v>24.2</v>
      </c>
      <c r="DT36" s="16">
        <v>29.1</v>
      </c>
      <c r="DU36" s="16">
        <v>20.3</v>
      </c>
      <c r="DV36" s="17">
        <v>1090</v>
      </c>
      <c r="DW36" s="17">
        <v>8</v>
      </c>
      <c r="DX36" s="77">
        <f t="shared" si="53"/>
        <v>2.0794415416798357</v>
      </c>
      <c r="DY36" s="17">
        <v>1626000</v>
      </c>
      <c r="DZ36" s="17">
        <f t="shared" si="54"/>
        <v>1626</v>
      </c>
      <c r="EA36" s="129">
        <f t="shared" si="55"/>
        <v>7.3938782901077555</v>
      </c>
      <c r="EB36" s="17">
        <v>3996000</v>
      </c>
      <c r="EC36" s="17">
        <f t="shared" si="56"/>
        <v>3996</v>
      </c>
      <c r="ED36" s="126">
        <f t="shared" si="57"/>
        <v>8.2930491397684438</v>
      </c>
      <c r="EE36" s="123">
        <f t="shared" si="58"/>
        <v>0.4069069069069069</v>
      </c>
      <c r="EF36" s="123">
        <f t="shared" si="59"/>
        <v>2.4575645756457565</v>
      </c>
      <c r="EG36" s="77">
        <f t="shared" si="60"/>
        <v>0.89917084966068828</v>
      </c>
      <c r="EH36" s="113">
        <v>33.200000000000003</v>
      </c>
      <c r="EI36" s="77">
        <v>0.66100000000000003</v>
      </c>
      <c r="EJ36" s="77">
        <v>0.14299999999999999</v>
      </c>
      <c r="EK36" s="77">
        <f t="shared" si="61"/>
        <v>-1.9449106487222299</v>
      </c>
      <c r="EL36" s="16">
        <v>0</v>
      </c>
    </row>
    <row r="37" spans="1:142" s="111" customFormat="1" ht="14.4" thickBot="1" x14ac:dyDescent="0.35">
      <c r="A37" s="119">
        <f t="shared" si="0"/>
        <v>36</v>
      </c>
      <c r="B37" s="78" t="s">
        <v>50</v>
      </c>
      <c r="C37" s="78" t="s">
        <v>44</v>
      </c>
      <c r="D37" s="150" t="s">
        <v>7</v>
      </c>
      <c r="E37" s="111">
        <v>0</v>
      </c>
      <c r="F37" s="111">
        <v>0</v>
      </c>
      <c r="G37" s="111">
        <v>0</v>
      </c>
      <c r="H37" s="111">
        <v>0</v>
      </c>
      <c r="I37" s="111">
        <v>1</v>
      </c>
      <c r="J37" s="79"/>
      <c r="K37" s="79">
        <v>8297</v>
      </c>
      <c r="L37" s="80">
        <v>-23.547499999999999</v>
      </c>
      <c r="M37" s="80">
        <f t="shared" si="1"/>
        <v>23.547499999999999</v>
      </c>
      <c r="N37" s="80">
        <v>-46.636110000000002</v>
      </c>
      <c r="O37" s="81">
        <v>19902</v>
      </c>
      <c r="P37" s="81">
        <v>20633.309000000001</v>
      </c>
      <c r="Q37" s="81">
        <v>21136.154999999999</v>
      </c>
      <c r="R37" s="82">
        <v>21650</v>
      </c>
      <c r="S37" s="137">
        <f t="shared" si="2"/>
        <v>9.9827607334306361</v>
      </c>
      <c r="T37" s="82">
        <v>211049.519</v>
      </c>
      <c r="U37" s="81">
        <f t="shared" si="3"/>
        <v>211.049519</v>
      </c>
      <c r="V37" s="82">
        <f t="shared" si="4"/>
        <v>5.3520927931451245</v>
      </c>
      <c r="W37" s="83">
        <f t="shared" si="5"/>
        <v>10.258256025686558</v>
      </c>
      <c r="X37" s="83">
        <v>1.3268519936615046</v>
      </c>
      <c r="Y37" s="84">
        <v>0.94</v>
      </c>
      <c r="Z37" s="83">
        <f t="shared" si="6"/>
        <v>1.4115446741079838</v>
      </c>
      <c r="AA37" s="79">
        <v>211908</v>
      </c>
      <c r="AB37" s="127">
        <f t="shared" si="7"/>
        <v>2119.08</v>
      </c>
      <c r="AC37" s="104">
        <v>2119.08</v>
      </c>
      <c r="AD37" s="80">
        <f t="shared" si="8"/>
        <v>7.6587373112130335</v>
      </c>
      <c r="AE37" s="82">
        <f t="shared" si="9"/>
        <v>10.21669781225815</v>
      </c>
      <c r="AF37" s="82">
        <f t="shared" si="10"/>
        <v>2.3240234222176026</v>
      </c>
      <c r="AG37" s="85">
        <v>8515770</v>
      </c>
      <c r="AH37" s="86">
        <f t="shared" si="11"/>
        <v>8515.77</v>
      </c>
      <c r="AI37" s="80">
        <f t="shared" si="12"/>
        <v>2.4884185458273294E-2</v>
      </c>
      <c r="AJ37" s="87">
        <f t="shared" si="13"/>
        <v>24.78337472712391</v>
      </c>
      <c r="AK37" s="137">
        <f t="shared" si="14"/>
        <v>3.2101730544635827</v>
      </c>
      <c r="AL37" s="87">
        <f t="shared" si="15"/>
        <v>412.23997638532217</v>
      </c>
      <c r="AM37" s="88">
        <v>1.869</v>
      </c>
      <c r="AN37" s="89">
        <v>408938000000</v>
      </c>
      <c r="AO37" s="88">
        <f t="shared" si="16"/>
        <v>408.93799999999999</v>
      </c>
      <c r="AP37" s="88">
        <f t="shared" si="17"/>
        <v>6.0135635553099371</v>
      </c>
      <c r="AQ37" s="90">
        <f t="shared" si="18"/>
        <v>19347.79528253838</v>
      </c>
      <c r="AR37" s="90">
        <f t="shared" si="19"/>
        <v>9.8703337530794943</v>
      </c>
      <c r="AS37" s="90">
        <f t="shared" si="20"/>
        <v>21.880042803638307</v>
      </c>
      <c r="AT37" s="91">
        <v>430.5</v>
      </c>
      <c r="AU37" s="88">
        <f t="shared" si="79"/>
        <v>6.0649473238677851</v>
      </c>
      <c r="AV37" s="91">
        <f t="shared" si="73"/>
        <v>23.033707865168541</v>
      </c>
      <c r="AW37" s="89">
        <v>430510</v>
      </c>
      <c r="AX37" s="89">
        <v>20650</v>
      </c>
      <c r="AY37" s="89">
        <f t="shared" si="80"/>
        <v>20864.806512615112</v>
      </c>
      <c r="AZ37" s="89">
        <f t="shared" si="74"/>
        <v>396302.90625</v>
      </c>
      <c r="BA37" s="92">
        <f t="shared" si="75"/>
        <v>12.889934112611137</v>
      </c>
      <c r="BB37" s="89">
        <v>18750</v>
      </c>
      <c r="BC37" s="92">
        <f t="shared" si="76"/>
        <v>9.8389490313985561</v>
      </c>
      <c r="BD37" s="92">
        <v>-1.9</v>
      </c>
      <c r="BE37" s="92">
        <f t="shared" si="77"/>
        <v>-1.9</v>
      </c>
      <c r="BF37" s="93">
        <v>-9.2009685230024214</v>
      </c>
      <c r="BG37" s="93">
        <f t="shared" si="78"/>
        <v>-9.2009685230024214</v>
      </c>
      <c r="BH37" s="95">
        <v>14.068</v>
      </c>
      <c r="BI37" s="88">
        <f t="shared" si="24"/>
        <v>2.6439027146117362</v>
      </c>
      <c r="BJ37" s="92">
        <v>0.44900000000000001</v>
      </c>
      <c r="BK37" s="92">
        <v>0.76100000000000001</v>
      </c>
      <c r="BL37" s="94">
        <v>75.7</v>
      </c>
      <c r="BM37" s="96">
        <v>2</v>
      </c>
      <c r="BN37" s="97">
        <v>0.57399999999999995</v>
      </c>
      <c r="BO37" s="97">
        <f t="shared" si="25"/>
        <v>0.18700000000000006</v>
      </c>
      <c r="BP37" s="114">
        <v>4</v>
      </c>
      <c r="BQ37" s="97">
        <f t="shared" si="26"/>
        <v>1.3862943611198906</v>
      </c>
      <c r="BR37" s="114">
        <v>4.8</v>
      </c>
      <c r="BS37" s="98">
        <v>16091</v>
      </c>
      <c r="BT37" s="99">
        <v>59.1</v>
      </c>
      <c r="BU37" s="100">
        <v>53830</v>
      </c>
      <c r="BV37" s="102">
        <f t="shared" si="27"/>
        <v>10.893586211555004</v>
      </c>
      <c r="BW37" s="101">
        <f>BU37*1000000/(R37*1000)</f>
        <v>2486.3741339491917</v>
      </c>
      <c r="BX37" s="102">
        <f t="shared" si="81"/>
        <v>7.8185807571065045</v>
      </c>
      <c r="BY37" s="102">
        <f t="shared" si="29"/>
        <v>25.402533174773961</v>
      </c>
      <c r="BZ37" s="102">
        <f t="shared" si="30"/>
        <v>3.2348489003419698</v>
      </c>
      <c r="CA37" s="102">
        <f t="shared" si="31"/>
        <v>13.163364617619298</v>
      </c>
      <c r="CB37" s="102">
        <f t="shared" si="32"/>
        <v>2.5774375632510198</v>
      </c>
      <c r="CC37" s="100">
        <v>265622</v>
      </c>
      <c r="CD37" s="100">
        <f t="shared" si="33"/>
        <v>73783.894791600003</v>
      </c>
      <c r="CE37" s="100">
        <f t="shared" si="34"/>
        <v>11.208895759017325</v>
      </c>
      <c r="CF37" s="100">
        <f t="shared" si="35"/>
        <v>46.148420207720186</v>
      </c>
      <c r="CG37" s="100">
        <f t="shared" si="36"/>
        <v>3707.3608075369311</v>
      </c>
      <c r="CH37" s="138">
        <f t="shared" si="37"/>
        <v>8.218075529824354</v>
      </c>
      <c r="CI37" s="98">
        <v>575582</v>
      </c>
      <c r="CJ37" s="98">
        <f t="shared" si="38"/>
        <v>159883.90167960001</v>
      </c>
      <c r="CK37" s="138">
        <f t="shared" si="39"/>
        <v>11.982203216327843</v>
      </c>
      <c r="CL37" s="101">
        <f t="shared" si="40"/>
        <v>8033.5595256557135</v>
      </c>
      <c r="CM37" s="138">
        <f t="shared" si="41"/>
        <v>8.9913829871348714</v>
      </c>
      <c r="CN37" s="101">
        <f t="shared" si="42"/>
        <v>46.148420207720186</v>
      </c>
      <c r="CO37" s="114">
        <v>1.7</v>
      </c>
      <c r="CP37" s="130">
        <v>19770</v>
      </c>
      <c r="CQ37" s="139">
        <v>33.6</v>
      </c>
      <c r="CR37" s="97">
        <f t="shared" si="43"/>
        <v>0.53062825106217038</v>
      </c>
      <c r="CS37" s="103">
        <v>2.8</v>
      </c>
      <c r="CT37" s="80">
        <f t="shared" si="44"/>
        <v>1.0296194171811581</v>
      </c>
      <c r="CU37" s="86">
        <f t="shared" si="45"/>
        <v>60619.999999999993</v>
      </c>
      <c r="CV37" s="80">
        <f t="shared" si="46"/>
        <v>11.012380150611794</v>
      </c>
      <c r="CW37" s="104">
        <f t="shared" si="47"/>
        <v>606.19999999999993</v>
      </c>
      <c r="CX37" s="80">
        <f t="shared" si="48"/>
        <v>6.4072099646237026</v>
      </c>
      <c r="CY37" s="80">
        <f t="shared" si="49"/>
        <v>7.1185576876782702E-2</v>
      </c>
      <c r="CZ37" s="105">
        <f t="shared" si="50"/>
        <v>286.06753874322817</v>
      </c>
      <c r="DA37" s="80">
        <f t="shared" si="51"/>
        <v>5.6562279323928069</v>
      </c>
      <c r="DB37" s="106">
        <v>3.37</v>
      </c>
      <c r="DC37" s="106">
        <v>1.06</v>
      </c>
      <c r="DD37" s="106">
        <v>4.38</v>
      </c>
      <c r="DE37" s="106">
        <v>1.06</v>
      </c>
      <c r="DF37" s="106">
        <v>2.48</v>
      </c>
      <c r="DG37" s="106">
        <v>1.1499999999999999</v>
      </c>
      <c r="DH37" s="107">
        <v>23.5</v>
      </c>
      <c r="DI37" s="110"/>
      <c r="DJ37" s="109">
        <v>18.233333333333334</v>
      </c>
      <c r="DK37" s="108">
        <v>7.5</v>
      </c>
      <c r="DL37" s="108">
        <f>DI37+DK37</f>
        <v>7.5</v>
      </c>
      <c r="DM37" s="105"/>
      <c r="DN37" s="110"/>
      <c r="DO37" s="110"/>
      <c r="DP37" s="110">
        <v>3</v>
      </c>
      <c r="DQ37" s="110"/>
      <c r="DR37" s="105">
        <f t="shared" si="82"/>
        <v>3</v>
      </c>
      <c r="DS37" s="111">
        <v>20</v>
      </c>
      <c r="DT37" s="111">
        <v>24</v>
      </c>
      <c r="DU37" s="111">
        <v>16</v>
      </c>
      <c r="DV37" s="79">
        <v>1350</v>
      </c>
      <c r="DW37" s="79">
        <v>771</v>
      </c>
      <c r="DX37" s="97">
        <f t="shared" si="53"/>
        <v>6.6476883735633292</v>
      </c>
      <c r="DY37" s="79">
        <v>12038000</v>
      </c>
      <c r="DZ37" s="79">
        <f t="shared" si="54"/>
        <v>12038</v>
      </c>
      <c r="EA37" s="130">
        <f t="shared" si="55"/>
        <v>9.3958235921077158</v>
      </c>
      <c r="EB37" s="79">
        <v>21243000</v>
      </c>
      <c r="EC37" s="79">
        <f t="shared" si="56"/>
        <v>21243</v>
      </c>
      <c r="ED37" s="127">
        <f t="shared" si="57"/>
        <v>9.9637827083198829</v>
      </c>
      <c r="EE37" s="124">
        <f t="shared" si="58"/>
        <v>0.566680788965777</v>
      </c>
      <c r="EF37" s="124">
        <f t="shared" si="59"/>
        <v>1.7646619039707592</v>
      </c>
      <c r="EG37" s="97">
        <f t="shared" si="60"/>
        <v>0.56795911621216744</v>
      </c>
      <c r="EH37" s="114">
        <v>33.200000000000003</v>
      </c>
      <c r="EI37" s="97">
        <v>0.66100000000000003</v>
      </c>
      <c r="EJ37" s="97">
        <v>0.14299999999999999</v>
      </c>
      <c r="EK37" s="97">
        <f t="shared" si="61"/>
        <v>-1.9449106487222299</v>
      </c>
      <c r="EL37" s="111">
        <v>0</v>
      </c>
    </row>
    <row r="38" spans="1:142" ht="14.4" thickTop="1" x14ac:dyDescent="0.3">
      <c r="AB38" s="140"/>
      <c r="BO38" s="133"/>
      <c r="EI38" s="133"/>
      <c r="EJ38" s="133"/>
      <c r="EK38" s="133"/>
    </row>
  </sheetData>
  <sortState xmlns:xlrd2="http://schemas.microsoft.com/office/spreadsheetml/2017/richdata2" ref="A2:EL37">
    <sortCondition ref="D2:D37"/>
  </sortState>
  <pageMargins left="0.7" right="0.7" top="0.75" bottom="0.75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John Paravantis</cp:lastModifiedBy>
  <dcterms:created xsi:type="dcterms:W3CDTF">2019-10-04T13:38:11Z</dcterms:created>
  <dcterms:modified xsi:type="dcterms:W3CDTF">2020-10-28T09:59:49Z</dcterms:modified>
</cp:coreProperties>
</file>